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Types.xml" ContentType="application/vnd.ms-excel.rdrichvaluetypes+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cuments\SCRD 2023\Riesgos de Seguridad 2023\"/>
    </mc:Choice>
  </mc:AlternateContent>
  <bookViews>
    <workbookView xWindow="0" yWindow="0" windowWidth="26083" windowHeight="10325" tabRatio="882" activeTab="1"/>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Procesos" sheetId="21" state="hidden" r:id="rId8"/>
    <sheet name="Opciones Tratamiento" sheetId="16" state="hidden" r:id="rId9"/>
    <sheet name="Hoja1" sheetId="11" state="hidden" r:id="rId10"/>
  </sheets>
  <calcPr calcId="162913"/>
  <pivotCaches>
    <pivotCache cacheId="0" r:id="rId11"/>
    <pivotCache cacheId="1" r:id="rId12"/>
  </pivotCaches>
  <fileRecoveryPr repairLoad="1"/>
</workbook>
</file>

<file path=xl/calcChain.xml><?xml version="1.0" encoding="utf-8"?>
<calcChain xmlns="http://schemas.openxmlformats.org/spreadsheetml/2006/main">
  <c r="T12" i="1" l="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11" i="1"/>
  <c r="K11" i="1" l="1"/>
  <c r="G26" i="21"/>
  <c r="W11" i="1" l="1"/>
  <c r="L11" i="1"/>
  <c r="N37" i="1"/>
  <c r="N62" i="1"/>
  <c r="N28" i="1"/>
  <c r="N31" i="1"/>
  <c r="N33" i="1"/>
  <c r="N18" i="1"/>
  <c r="N34" i="1"/>
  <c r="N69" i="1"/>
  <c r="N21" i="1"/>
  <c r="N24" i="1"/>
  <c r="N48" i="1"/>
  <c r="N51" i="1"/>
  <c r="N30" i="1"/>
  <c r="N20" i="1"/>
  <c r="N55" i="1"/>
  <c r="N40" i="1"/>
  <c r="N63" i="1"/>
  <c r="N36" i="1"/>
  <c r="N66" i="1"/>
  <c r="N39" i="1"/>
  <c r="N70" i="1"/>
  <c r="N43" i="1"/>
  <c r="N61" i="1"/>
  <c r="N50" i="1"/>
  <c r="N49" i="1"/>
  <c r="N26" i="1"/>
  <c r="N44" i="1"/>
  <c r="N22" i="1"/>
  <c r="N42" i="1"/>
  <c r="N58" i="1"/>
  <c r="N46" i="1"/>
  <c r="N57" i="1"/>
  <c r="N54" i="1"/>
  <c r="N52" i="1"/>
  <c r="N32" i="1"/>
  <c r="N68" i="1"/>
  <c r="N60" i="1"/>
  <c r="N27" i="1"/>
  <c r="N45" i="1"/>
  <c r="N56" i="1"/>
  <c r="N64" i="1"/>
  <c r="N19" i="1"/>
  <c r="N25" i="1"/>
  <c r="N67" i="1"/>
  <c r="N38" i="1"/>
  <c r="F221" i="13" l="1"/>
  <c r="F211" i="13"/>
  <c r="F212" i="13"/>
  <c r="F213" i="13"/>
  <c r="F214" i="13"/>
  <c r="F215" i="13"/>
  <c r="F216" i="13"/>
  <c r="F217" i="13"/>
  <c r="F218" i="13"/>
  <c r="F219" i="13"/>
  <c r="F220" i="13"/>
  <c r="F210" i="13"/>
  <c r="N15" i="1"/>
  <c r="N16" i="1"/>
  <c r="N13" i="1"/>
  <c r="N14" i="1"/>
  <c r="N12" i="1"/>
  <c r="B221" i="13" a="1"/>
  <c r="B221"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W70" i="1" l="1"/>
  <c r="W69" i="1"/>
  <c r="W68" i="1"/>
  <c r="W67" i="1"/>
  <c r="W66" i="1"/>
  <c r="W65" i="1"/>
  <c r="K65" i="1"/>
  <c r="L65" i="1" s="1"/>
  <c r="W64" i="1"/>
  <c r="W63" i="1"/>
  <c r="W62" i="1"/>
  <c r="W61" i="1"/>
  <c r="W60" i="1"/>
  <c r="W59" i="1"/>
  <c r="K59" i="1"/>
  <c r="L59" i="1" s="1"/>
  <c r="W58" i="1"/>
  <c r="W57" i="1"/>
  <c r="W56" i="1"/>
  <c r="W55" i="1"/>
  <c r="W54" i="1"/>
  <c r="W53" i="1"/>
  <c r="K53" i="1"/>
  <c r="L53" i="1" s="1"/>
  <c r="W52" i="1"/>
  <c r="W51" i="1"/>
  <c r="W50" i="1"/>
  <c r="W49" i="1"/>
  <c r="W48" i="1"/>
  <c r="W47" i="1"/>
  <c r="AE48" i="1"/>
  <c r="K47" i="1"/>
  <c r="L47" i="1" s="1"/>
  <c r="W46" i="1"/>
  <c r="W45" i="1"/>
  <c r="W44" i="1"/>
  <c r="W43" i="1"/>
  <c r="W42" i="1"/>
  <c r="W41" i="1"/>
  <c r="AE42" i="1"/>
  <c r="K41" i="1"/>
  <c r="L41" i="1" s="1"/>
  <c r="W40" i="1"/>
  <c r="W39" i="1"/>
  <c r="W38" i="1"/>
  <c r="W37" i="1"/>
  <c r="W36" i="1"/>
  <c r="W35" i="1"/>
  <c r="K35" i="1"/>
  <c r="L35" i="1" s="1"/>
  <c r="W34" i="1"/>
  <c r="W33" i="1"/>
  <c r="W32" i="1"/>
  <c r="W31" i="1"/>
  <c r="W30" i="1"/>
  <c r="W29" i="1"/>
  <c r="K29" i="1"/>
  <c r="L29" i="1" s="1"/>
  <c r="W28" i="1"/>
  <c r="W27" i="1"/>
  <c r="W26" i="1"/>
  <c r="W25" i="1"/>
  <c r="W24" i="1"/>
  <c r="W23" i="1"/>
  <c r="K23" i="1"/>
  <c r="L23" i="1" s="1"/>
  <c r="K17" i="1"/>
  <c r="W22" i="1"/>
  <c r="W21" i="1"/>
  <c r="W20" i="1"/>
  <c r="W19" i="1"/>
  <c r="W18" i="1"/>
  <c r="W17" i="1"/>
  <c r="AE30" i="1" l="1"/>
  <c r="AE66" i="1"/>
  <c r="AE18" i="1"/>
  <c r="AE36" i="1"/>
  <c r="AE60" i="1"/>
  <c r="AE51" i="1"/>
  <c r="AD51" i="1" s="1"/>
  <c r="AE52" i="1"/>
  <c r="AD52" i="1" s="1"/>
  <c r="L17" i="1"/>
  <c r="AA17" i="1" s="1"/>
  <c r="AA65" i="1"/>
  <c r="AA59" i="1"/>
  <c r="AA53" i="1"/>
  <c r="AA47" i="1"/>
  <c r="AA51" i="1"/>
  <c r="AA52" i="1"/>
  <c r="AA41" i="1"/>
  <c r="AA35" i="1"/>
  <c r="AA29" i="1"/>
  <c r="AA23" i="1"/>
  <c r="AB65" i="1" l="1"/>
  <c r="AC65" i="1"/>
  <c r="AA66" i="1" s="1"/>
  <c r="AB66" i="1" s="1"/>
  <c r="AB59" i="1"/>
  <c r="AC59" i="1"/>
  <c r="AA60" i="1" s="1"/>
  <c r="AC60" i="1" s="1"/>
  <c r="AA61" i="1" s="1"/>
  <c r="AB53" i="1"/>
  <c r="AC53" i="1"/>
  <c r="AA54" i="1" s="1"/>
  <c r="AC54" i="1" s="1"/>
  <c r="AA55" i="1" s="1"/>
  <c r="AB52" i="1"/>
  <c r="AC52" i="1"/>
  <c r="AB51" i="1"/>
  <c r="AC51" i="1"/>
  <c r="AB47" i="1"/>
  <c r="AC47" i="1"/>
  <c r="AB41" i="1"/>
  <c r="AC41" i="1"/>
  <c r="AA42" i="1" s="1"/>
  <c r="AC42" i="1" s="1"/>
  <c r="AA43" i="1" s="1"/>
  <c r="AB35" i="1"/>
  <c r="AC35" i="1"/>
  <c r="AB29" i="1"/>
  <c r="AC29" i="1"/>
  <c r="AA30" i="1" s="1"/>
  <c r="AC30" i="1" s="1"/>
  <c r="AA31" i="1" s="1"/>
  <c r="AB31" i="1" s="1"/>
  <c r="AB23" i="1"/>
  <c r="AC23" i="1"/>
  <c r="AA24" i="1" s="1"/>
  <c r="AB24" i="1" s="1"/>
  <c r="AB17" i="1"/>
  <c r="AC17" i="1"/>
  <c r="AA18" i="1" s="1"/>
  <c r="AB60" i="1" l="1"/>
  <c r="AB54" i="1"/>
  <c r="AC24" i="1"/>
  <c r="AA25" i="1" s="1"/>
  <c r="AB25" i="1" s="1"/>
  <c r="AB42" i="1"/>
  <c r="AB30" i="1"/>
  <c r="AB43" i="1"/>
  <c r="AC43" i="1"/>
  <c r="AC61" i="1"/>
  <c r="AA62" i="1" s="1"/>
  <c r="AB61" i="1"/>
  <c r="AC55" i="1"/>
  <c r="AA56" i="1" s="1"/>
  <c r="AB55" i="1"/>
  <c r="AC66" i="1"/>
  <c r="AA67" i="1" s="1"/>
  <c r="AA36" i="1"/>
  <c r="AA48" i="1"/>
  <c r="AA49" i="1"/>
  <c r="AC31"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F51" i="1"/>
  <c r="AF52" i="1"/>
  <c r="W12" i="1"/>
  <c r="W13" i="1"/>
  <c r="W14" i="1"/>
  <c r="W15" i="1"/>
  <c r="W16" i="1"/>
  <c r="AB62" i="1" l="1"/>
  <c r="AC62" i="1"/>
  <c r="AB56" i="1"/>
  <c r="AC56" i="1"/>
  <c r="AA57" i="1" s="1"/>
  <c r="AC25" i="1"/>
  <c r="AA26" i="1" s="1"/>
  <c r="AC26" i="1" s="1"/>
  <c r="AB49" i="1"/>
  <c r="AC49" i="1"/>
  <c r="AA50" i="1" s="1"/>
  <c r="AB67" i="1"/>
  <c r="AC67" i="1"/>
  <c r="AA68" i="1" s="1"/>
  <c r="AB48" i="1"/>
  <c r="AC48" i="1"/>
  <c r="AA44" i="1"/>
  <c r="AB36" i="1"/>
  <c r="AC36" i="1"/>
  <c r="AA37" i="1" s="1"/>
  <c r="AB37" i="1" s="1"/>
  <c r="AA33" i="1"/>
  <c r="AB33" i="1" s="1"/>
  <c r="AA32" i="1"/>
  <c r="AB18" i="1"/>
  <c r="AC18" i="1"/>
  <c r="AA19" i="1" s="1"/>
  <c r="AB19" i="1" s="1"/>
  <c r="AC37" i="1" l="1"/>
  <c r="AA38" i="1" s="1"/>
  <c r="AC38" i="1" s="1"/>
  <c r="AA39" i="1" s="1"/>
  <c r="AB57" i="1"/>
  <c r="AC57" i="1"/>
  <c r="AA58" i="1" s="1"/>
  <c r="AA63" i="1"/>
  <c r="AA64" i="1"/>
  <c r="AB26" i="1"/>
  <c r="AB44" i="1"/>
  <c r="AC44" i="1"/>
  <c r="AA45" i="1" s="1"/>
  <c r="AB45" i="1" s="1"/>
  <c r="AB50" i="1"/>
  <c r="AC50" i="1"/>
  <c r="AA27" i="1"/>
  <c r="AC68" i="1"/>
  <c r="AB68" i="1"/>
  <c r="AB32" i="1"/>
  <c r="AC32" i="1"/>
  <c r="AC33" i="1"/>
  <c r="AA34" i="1" s="1"/>
  <c r="AC19" i="1"/>
  <c r="AA20" i="1" s="1"/>
  <c r="AB20" i="1" s="1"/>
  <c r="AB38" i="1" l="1"/>
  <c r="AB64" i="1"/>
  <c r="AC64" i="1"/>
  <c r="AB63" i="1"/>
  <c r="AC63" i="1"/>
  <c r="AB58" i="1"/>
  <c r="AC58" i="1"/>
  <c r="AA69" i="1"/>
  <c r="AA70" i="1"/>
  <c r="AC45" i="1"/>
  <c r="AA46" i="1" s="1"/>
  <c r="AB46" i="1" s="1"/>
  <c r="AC39" i="1"/>
  <c r="AA40" i="1" s="1"/>
  <c r="AB39" i="1"/>
  <c r="AB27" i="1"/>
  <c r="AC27" i="1"/>
  <c r="AA28" i="1" s="1"/>
  <c r="AB28" i="1" s="1"/>
  <c r="AB34" i="1"/>
  <c r="AC34" i="1"/>
  <c r="AC20" i="1"/>
  <c r="AA21" i="1" s="1"/>
  <c r="AC21" i="1" s="1"/>
  <c r="AA22" i="1" s="1"/>
  <c r="AA11" i="1"/>
  <c r="AB11" i="1" s="1"/>
  <c r="AB70" i="1" l="1"/>
  <c r="AC70" i="1"/>
  <c r="AB69" i="1"/>
  <c r="AC69" i="1"/>
  <c r="AB40" i="1"/>
  <c r="AC40" i="1"/>
  <c r="AC46" i="1"/>
  <c r="AC28" i="1"/>
  <c r="AB21" i="1"/>
  <c r="AB22" i="1"/>
  <c r="AC22" i="1"/>
  <c r="AC11" i="1" l="1"/>
  <c r="AA12" i="1" s="1"/>
  <c r="AB12" i="1" l="1"/>
  <c r="AC12" i="1" l="1"/>
  <c r="AA13" i="1" s="1"/>
  <c r="AB13" i="1" s="1"/>
  <c r="AC13" i="1" l="1"/>
  <c r="AA14" i="1" s="1"/>
  <c r="AC14" i="1" l="1"/>
  <c r="AA15" i="1" s="1"/>
  <c r="AB15" i="1" l="1"/>
  <c r="AC15" i="1"/>
  <c r="AA16" i="1" s="1"/>
  <c r="AB14" i="1"/>
  <c r="AB16" i="1" l="1"/>
  <c r="AC16" i="1"/>
  <c r="AE67" i="1" l="1"/>
  <c r="AE25" i="1" l="1"/>
  <c r="AD66" i="1"/>
  <c r="AE13" i="1"/>
  <c r="AD67" i="1"/>
  <c r="AE68" i="1"/>
  <c r="AE37" i="1"/>
  <c r="AD36" i="1"/>
  <c r="AD42" i="1"/>
  <c r="AE43" i="1"/>
  <c r="AD43" i="1" s="1"/>
  <c r="AE44" i="1"/>
  <c r="AE49" i="1"/>
  <c r="AD49" i="1" s="1"/>
  <c r="AE50" i="1"/>
  <c r="AD50" i="1" s="1"/>
  <c r="AD48" i="1"/>
  <c r="AE19" i="1"/>
  <c r="AD18" i="1"/>
  <c r="AE55" i="1"/>
  <c r="AD60" i="1"/>
  <c r="AE61" i="1"/>
  <c r="AD30" i="1"/>
  <c r="AE31" i="1"/>
  <c r="W37" i="19" l="1"/>
  <c r="AI7" i="19"/>
  <c r="W17" i="19"/>
  <c r="W27" i="19"/>
  <c r="Q47" i="19"/>
  <c r="W7" i="19"/>
  <c r="AI17" i="19"/>
  <c r="K47" i="19"/>
  <c r="AI47" i="19"/>
  <c r="Q27" i="19"/>
  <c r="AC27" i="19"/>
  <c r="AC47" i="19"/>
  <c r="AC37" i="19"/>
  <c r="AI37" i="19"/>
  <c r="AF18" i="1"/>
  <c r="AC17" i="19"/>
  <c r="K37" i="19"/>
  <c r="AC7" i="19"/>
  <c r="W47" i="19"/>
  <c r="Q37" i="19"/>
  <c r="AI27" i="19"/>
  <c r="Q7" i="19"/>
  <c r="K27" i="19"/>
  <c r="K17" i="19"/>
  <c r="K7" i="19"/>
  <c r="Q17" i="19"/>
  <c r="AD68" i="1"/>
  <c r="AE69" i="1"/>
  <c r="K35" i="19"/>
  <c r="AC25" i="19"/>
  <c r="K45" i="19"/>
  <c r="AI45" i="19"/>
  <c r="W45" i="19"/>
  <c r="Q35" i="19"/>
  <c r="K55" i="19"/>
  <c r="AC15" i="19"/>
  <c r="Q15" i="19"/>
  <c r="AC35" i="19"/>
  <c r="AI35" i="19"/>
  <c r="Q55" i="19"/>
  <c r="AI25" i="19"/>
  <c r="AF66"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F60"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F42" i="1"/>
  <c r="AD55" i="19"/>
  <c r="R15" i="19"/>
  <c r="AJ35" i="19"/>
  <c r="AF67" i="1"/>
  <c r="X45" i="19"/>
  <c r="AJ15" i="19"/>
  <c r="AJ55" i="19"/>
  <c r="R25" i="19"/>
  <c r="X15" i="19"/>
  <c r="R55" i="19"/>
  <c r="X55" i="19"/>
  <c r="AD15" i="19"/>
  <c r="L35" i="19"/>
  <c r="L15" i="19"/>
  <c r="L45" i="19"/>
  <c r="AD45" i="19"/>
  <c r="L25" i="19"/>
  <c r="AD25" i="19"/>
  <c r="X35" i="19"/>
  <c r="X25" i="19"/>
  <c r="R35" i="19"/>
  <c r="AJ25" i="19"/>
  <c r="AD35" i="19"/>
  <c r="R45" i="19"/>
  <c r="AJ45" i="19"/>
  <c r="L55" i="19"/>
  <c r="AJ52" i="19"/>
  <c r="AJ32" i="19"/>
  <c r="L32" i="19"/>
  <c r="AJ42" i="19"/>
  <c r="L12" i="19"/>
  <c r="L52" i="19"/>
  <c r="X12" i="19"/>
  <c r="R12" i="19"/>
  <c r="AD42" i="19"/>
  <c r="X42" i="19"/>
  <c r="AJ12" i="19"/>
  <c r="X32" i="19"/>
  <c r="R52" i="19"/>
  <c r="R32" i="19"/>
  <c r="X22" i="19"/>
  <c r="AJ22" i="19"/>
  <c r="L22" i="19"/>
  <c r="R22" i="19"/>
  <c r="AF49" i="1"/>
  <c r="AD12" i="19"/>
  <c r="AD32" i="19"/>
  <c r="AD22" i="19"/>
  <c r="X52" i="19"/>
  <c r="AD52" i="19"/>
  <c r="L42" i="19"/>
  <c r="R42" i="19"/>
  <c r="AJ21" i="19"/>
  <c r="AD31" i="19"/>
  <c r="R21" i="19"/>
  <c r="AD41" i="19"/>
  <c r="AJ11" i="19"/>
  <c r="AJ51" i="19"/>
  <c r="AF43" i="1"/>
  <c r="L41" i="19"/>
  <c r="AD11" i="19"/>
  <c r="L21" i="19"/>
  <c r="L11" i="19"/>
  <c r="X51" i="19"/>
  <c r="X21" i="19"/>
  <c r="R11" i="19"/>
  <c r="R31" i="19"/>
  <c r="AJ41" i="19"/>
  <c r="L31" i="19"/>
  <c r="R51" i="19"/>
  <c r="X31" i="19"/>
  <c r="X11" i="19"/>
  <c r="X41" i="19"/>
  <c r="AJ31" i="19"/>
  <c r="AD51" i="19"/>
  <c r="R41" i="19"/>
  <c r="AD21" i="19"/>
  <c r="L51" i="19"/>
  <c r="AE20" i="1"/>
  <c r="AD19" i="1"/>
  <c r="AD31" i="1"/>
  <c r="AE32" i="1"/>
  <c r="AD55" i="1"/>
  <c r="AE56" i="1"/>
  <c r="K42" i="19"/>
  <c r="AC32" i="19"/>
  <c r="W42" i="19"/>
  <c r="AI52" i="19"/>
  <c r="K22" i="19"/>
  <c r="Q32" i="19"/>
  <c r="AI12" i="19"/>
  <c r="AC52" i="19"/>
  <c r="Q42" i="19"/>
  <c r="AC42" i="19"/>
  <c r="K12" i="19"/>
  <c r="Q22" i="19"/>
  <c r="W52" i="19"/>
  <c r="AI42" i="19"/>
  <c r="W32" i="19"/>
  <c r="AI22" i="19"/>
  <c r="W12" i="19"/>
  <c r="AI32" i="19"/>
  <c r="AC12" i="19"/>
  <c r="Q12" i="19"/>
  <c r="Q52" i="19"/>
  <c r="AF48" i="1"/>
  <c r="K32" i="19"/>
  <c r="W22" i="19"/>
  <c r="K52" i="19"/>
  <c r="AC22" i="19"/>
  <c r="AC40" i="19"/>
  <c r="W10" i="19"/>
  <c r="AC50" i="19"/>
  <c r="Q10" i="19"/>
  <c r="Q30" i="19"/>
  <c r="W50" i="19"/>
  <c r="K40" i="19"/>
  <c r="Q50" i="19"/>
  <c r="W20" i="19"/>
  <c r="AF36" i="1"/>
  <c r="K10" i="19"/>
  <c r="Q40" i="19"/>
  <c r="K30" i="19"/>
  <c r="AI50" i="19"/>
  <c r="AI20" i="19"/>
  <c r="K50" i="19"/>
  <c r="AI40" i="19"/>
  <c r="W40" i="19"/>
  <c r="K20" i="19"/>
  <c r="AC10" i="19"/>
  <c r="AI10" i="19"/>
  <c r="AC20" i="19"/>
  <c r="AI30" i="19"/>
  <c r="AC30" i="19"/>
  <c r="W30" i="19"/>
  <c r="Q20" i="19"/>
  <c r="AE26" i="1"/>
  <c r="AD25" i="1"/>
  <c r="AD61" i="1"/>
  <c r="AE62" i="1"/>
  <c r="K39" i="19"/>
  <c r="AC39" i="19"/>
  <c r="W29" i="19"/>
  <c r="AI49" i="19"/>
  <c r="W9" i="19"/>
  <c r="AC19" i="19"/>
  <c r="Q49" i="19"/>
  <c r="W49" i="19"/>
  <c r="AC9" i="19"/>
  <c r="AI9" i="19"/>
  <c r="Q29" i="19"/>
  <c r="W39" i="19"/>
  <c r="Q39" i="19"/>
  <c r="AF30" i="1"/>
  <c r="K9" i="19"/>
  <c r="W19" i="19"/>
  <c r="AI39" i="19"/>
  <c r="K29" i="19"/>
  <c r="AC49" i="19"/>
  <c r="AI19" i="19"/>
  <c r="AC29" i="19"/>
  <c r="K19" i="19"/>
  <c r="K49" i="19"/>
  <c r="Q19" i="19"/>
  <c r="Q9" i="19"/>
  <c r="AI29" i="19"/>
  <c r="M12" i="19"/>
  <c r="AK42" i="19"/>
  <c r="AE32" i="19"/>
  <c r="AF50" i="1"/>
  <c r="M52" i="19"/>
  <c r="S12" i="19"/>
  <c r="M32" i="19"/>
  <c r="S52" i="19"/>
  <c r="Y52" i="19"/>
  <c r="Y42" i="19"/>
  <c r="AK12" i="19"/>
  <c r="S22" i="19"/>
  <c r="AE12" i="19"/>
  <c r="Y22" i="19"/>
  <c r="S32" i="19"/>
  <c r="AK52" i="19"/>
  <c r="M22" i="19"/>
  <c r="AK32" i="19"/>
  <c r="AE22" i="19"/>
  <c r="AE42" i="19"/>
  <c r="Y32" i="19"/>
  <c r="M42" i="19"/>
  <c r="Y12" i="19"/>
  <c r="AE52" i="19"/>
  <c r="AK22" i="19"/>
  <c r="S42" i="19"/>
  <c r="AD44" i="1"/>
  <c r="AE46" i="1"/>
  <c r="AD46" i="1" s="1"/>
  <c r="AE45" i="1"/>
  <c r="AD45" i="1" s="1"/>
  <c r="AD37" i="1"/>
  <c r="AE38" i="1"/>
  <c r="AE14" i="1"/>
  <c r="AD14" i="1" s="1"/>
  <c r="AD13" i="1"/>
  <c r="AE15" i="1"/>
  <c r="AD15" i="1" l="1"/>
  <c r="AE16" i="1"/>
  <c r="AD16" i="1" s="1"/>
  <c r="R40" i="19"/>
  <c r="AD10" i="19"/>
  <c r="X40" i="19"/>
  <c r="AJ10" i="19"/>
  <c r="R50" i="19"/>
  <c r="X10" i="19"/>
  <c r="R30" i="19"/>
  <c r="AF37" i="1"/>
  <c r="L10" i="19"/>
  <c r="L50" i="19"/>
  <c r="AJ20" i="19"/>
  <c r="AJ40" i="19"/>
  <c r="AD30" i="19"/>
  <c r="R20" i="19"/>
  <c r="AD50" i="19"/>
  <c r="AJ30" i="19"/>
  <c r="AJ50" i="19"/>
  <c r="X30" i="19"/>
  <c r="AD20" i="19"/>
  <c r="L40" i="19"/>
  <c r="X50" i="19"/>
  <c r="X20" i="19"/>
  <c r="AD40" i="19"/>
  <c r="R10" i="19"/>
  <c r="L30" i="19"/>
  <c r="L20" i="19"/>
  <c r="AD56" i="1"/>
  <c r="AE57" i="1"/>
  <c r="AD69" i="1"/>
  <c r="AE70" i="1"/>
  <c r="AD70" i="1" s="1"/>
  <c r="AD47" i="19"/>
  <c r="AJ27" i="19"/>
  <c r="AD27" i="19"/>
  <c r="AJ7" i="19"/>
  <c r="AJ37" i="19"/>
  <c r="L27" i="19"/>
  <c r="AD17" i="19"/>
  <c r="L37" i="19"/>
  <c r="R17" i="19"/>
  <c r="AJ17" i="19"/>
  <c r="X7" i="19"/>
  <c r="X47" i="19"/>
  <c r="L7" i="19"/>
  <c r="L17" i="19"/>
  <c r="R27" i="19"/>
  <c r="X27" i="19"/>
  <c r="R7" i="19"/>
  <c r="X17" i="19"/>
  <c r="AJ47" i="19"/>
  <c r="L47" i="19"/>
  <c r="R37" i="19"/>
  <c r="AD7" i="19"/>
  <c r="X37" i="19"/>
  <c r="AF19" i="1"/>
  <c r="R47" i="19"/>
  <c r="AD37" i="19"/>
  <c r="AE27" i="1"/>
  <c r="AD27" i="1" s="1"/>
  <c r="AD26" i="1"/>
  <c r="AE28" i="1"/>
  <c r="AD28" i="1" s="1"/>
  <c r="AJ43" i="19"/>
  <c r="AD33" i="19"/>
  <c r="X33" i="19"/>
  <c r="X13" i="19"/>
  <c r="AD43" i="19"/>
  <c r="L43" i="19"/>
  <c r="AF55" i="1"/>
  <c r="X23" i="19"/>
  <c r="R33" i="19"/>
  <c r="R43" i="19"/>
  <c r="AD53" i="19"/>
  <c r="AJ13" i="19"/>
  <c r="R23" i="19"/>
  <c r="R13" i="19"/>
  <c r="AJ53" i="19"/>
  <c r="L33" i="19"/>
  <c r="L23" i="19"/>
  <c r="X43" i="19"/>
  <c r="X53" i="19"/>
  <c r="AD13" i="19"/>
  <c r="L53" i="19"/>
  <c r="L13" i="19"/>
  <c r="AD23" i="19"/>
  <c r="AJ33" i="19"/>
  <c r="AJ23" i="19"/>
  <c r="R53" i="19"/>
  <c r="AD20" i="1"/>
  <c r="AE21" i="1"/>
  <c r="M55" i="19"/>
  <c r="AK15" i="19"/>
  <c r="AE25" i="19"/>
  <c r="AF68"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F25"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F45"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F14" i="1"/>
  <c r="O11" i="19"/>
  <c r="O21" i="19"/>
  <c r="O51" i="19"/>
  <c r="AA31" i="19"/>
  <c r="AM31" i="19"/>
  <c r="AG51" i="19"/>
  <c r="AA41" i="19"/>
  <c r="AM11" i="19"/>
  <c r="U21" i="19"/>
  <c r="AG41" i="19"/>
  <c r="AM21" i="19"/>
  <c r="AM51" i="19"/>
  <c r="O41" i="19"/>
  <c r="U11" i="19"/>
  <c r="AG31" i="19"/>
  <c r="U41" i="19"/>
  <c r="AF46" i="1"/>
  <c r="AG11" i="19"/>
  <c r="AM41" i="19"/>
  <c r="AA21" i="19"/>
  <c r="AA51" i="19"/>
  <c r="U51" i="19"/>
  <c r="U31" i="19"/>
  <c r="AA11" i="19"/>
  <c r="AG21" i="19"/>
  <c r="O31" i="19"/>
  <c r="AD62" i="1"/>
  <c r="AE63" i="1"/>
  <c r="AD32" i="1"/>
  <c r="AE33" i="1"/>
  <c r="AD33" i="1" s="1"/>
  <c r="AE34" i="1"/>
  <c r="AD34" i="1" s="1"/>
  <c r="AJ46" i="19"/>
  <c r="AD46" i="19"/>
  <c r="L36" i="19"/>
  <c r="X16" i="19"/>
  <c r="AJ26" i="19"/>
  <c r="L46" i="19"/>
  <c r="X6" i="19"/>
  <c r="R36" i="19"/>
  <c r="X36" i="19"/>
  <c r="R6" i="19"/>
  <c r="AJ6" i="19"/>
  <c r="AD36" i="19"/>
  <c r="R46" i="19"/>
  <c r="AD26" i="19"/>
  <c r="L16" i="19"/>
  <c r="AD16" i="19"/>
  <c r="AF13" i="1"/>
  <c r="X46" i="19"/>
  <c r="X26" i="19"/>
  <c r="AJ36" i="19"/>
  <c r="R26" i="19"/>
  <c r="AD6" i="19"/>
  <c r="L6" i="19"/>
  <c r="L26" i="19"/>
  <c r="R16" i="19"/>
  <c r="AJ16" i="19"/>
  <c r="AD38" i="1"/>
  <c r="AE39" i="1"/>
  <c r="AE11" i="19"/>
  <c r="Y41" i="19"/>
  <c r="M41" i="19"/>
  <c r="Y21" i="19"/>
  <c r="AK41" i="19"/>
  <c r="S31" i="19"/>
  <c r="M31" i="19"/>
  <c r="M51" i="19"/>
  <c r="Y51" i="19"/>
  <c r="AK21" i="19"/>
  <c r="AK31" i="19"/>
  <c r="Y11" i="19"/>
  <c r="AE41" i="19"/>
  <c r="AE21" i="19"/>
  <c r="S51" i="19"/>
  <c r="AE51" i="19"/>
  <c r="AK51" i="19"/>
  <c r="M21" i="19"/>
  <c r="AE31" i="19"/>
  <c r="AF44" i="1"/>
  <c r="S41" i="19"/>
  <c r="AK11" i="19"/>
  <c r="S11" i="19"/>
  <c r="Y31" i="19"/>
  <c r="S21" i="19"/>
  <c r="M11" i="19"/>
  <c r="L54" i="19"/>
  <c r="AJ14" i="19"/>
  <c r="AD44" i="19"/>
  <c r="X54" i="19"/>
  <c r="R14" i="19"/>
  <c r="AD24" i="19"/>
  <c r="AD34" i="19"/>
  <c r="R54" i="19"/>
  <c r="L34" i="19"/>
  <c r="AJ34" i="19"/>
  <c r="X24" i="19"/>
  <c r="AJ24" i="19"/>
  <c r="X44" i="19"/>
  <c r="R24" i="19"/>
  <c r="AF61" i="1"/>
  <c r="X34" i="19"/>
  <c r="L14" i="19"/>
  <c r="AD14" i="19"/>
  <c r="L44" i="19"/>
  <c r="R44" i="19"/>
  <c r="AD54" i="19"/>
  <c r="X14" i="19"/>
  <c r="AJ44" i="19"/>
  <c r="R34" i="19"/>
  <c r="AJ54" i="19"/>
  <c r="L24" i="19"/>
  <c r="AD29" i="19"/>
  <c r="AD19" i="19"/>
  <c r="R39" i="19"/>
  <c r="R9" i="19"/>
  <c r="X49" i="19"/>
  <c r="X9" i="19"/>
  <c r="AD39" i="19"/>
  <c r="R29" i="19"/>
  <c r="L49" i="19"/>
  <c r="X19" i="19"/>
  <c r="X29" i="19"/>
  <c r="X39" i="19"/>
  <c r="L9" i="19"/>
  <c r="AF31" i="1"/>
  <c r="AD9" i="19"/>
  <c r="AJ49" i="19"/>
  <c r="L39" i="19"/>
  <c r="R19" i="19"/>
  <c r="AJ39" i="19"/>
  <c r="AJ29" i="19"/>
  <c r="AJ19" i="19"/>
  <c r="AJ9" i="19"/>
  <c r="AD49" i="19"/>
  <c r="L19" i="19"/>
  <c r="L29" i="19"/>
  <c r="R49" i="19"/>
  <c r="AD39" i="1" l="1"/>
  <c r="AE40" i="1"/>
  <c r="AD40" i="1" s="1"/>
  <c r="AG39" i="19"/>
  <c r="AG29" i="19"/>
  <c r="AM19" i="19"/>
  <c r="O39" i="19"/>
  <c r="AF34"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F62" i="1"/>
  <c r="AE24" i="19"/>
  <c r="S14" i="19"/>
  <c r="AK17" i="19"/>
  <c r="S27" i="19"/>
  <c r="S37" i="19"/>
  <c r="AE27" i="19"/>
  <c r="Y47" i="19"/>
  <c r="S7" i="19"/>
  <c r="M17" i="19"/>
  <c r="AE17" i="19"/>
  <c r="AK27" i="19"/>
  <c r="Y7" i="19"/>
  <c r="Y37" i="19"/>
  <c r="AE37" i="19"/>
  <c r="Y27" i="19"/>
  <c r="M47" i="19"/>
  <c r="AF20"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F26" i="1"/>
  <c r="AE28" i="19"/>
  <c r="AA55" i="19"/>
  <c r="O45" i="19"/>
  <c r="AA15" i="19"/>
  <c r="AM55" i="19"/>
  <c r="O55" i="19"/>
  <c r="AG35" i="19"/>
  <c r="AM25" i="19"/>
  <c r="AM35" i="19"/>
  <c r="AA25" i="19"/>
  <c r="AM45" i="19"/>
  <c r="AG25" i="19"/>
  <c r="AA35" i="19"/>
  <c r="O25" i="19"/>
  <c r="U25" i="19"/>
  <c r="AG45" i="19"/>
  <c r="U35" i="19"/>
  <c r="AA45" i="19"/>
  <c r="AM15" i="19"/>
  <c r="U45" i="19"/>
  <c r="O35" i="19"/>
  <c r="O15" i="19"/>
  <c r="AF70" i="1"/>
  <c r="AG15" i="19"/>
  <c r="U15" i="19"/>
  <c r="AG55" i="19"/>
  <c r="U55" i="19"/>
  <c r="AE40" i="19"/>
  <c r="Y30" i="19"/>
  <c r="M20" i="19"/>
  <c r="AF38"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F33" i="1"/>
  <c r="T19" i="19"/>
  <c r="AL49" i="19"/>
  <c r="T29" i="19"/>
  <c r="AF29" i="19"/>
  <c r="T18" i="19"/>
  <c r="N48" i="19"/>
  <c r="N8" i="19"/>
  <c r="T28" i="19"/>
  <c r="AF38" i="19"/>
  <c r="Z28" i="19"/>
  <c r="Z18" i="19"/>
  <c r="AF8" i="19"/>
  <c r="AF27"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F69"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F32" i="1"/>
  <c r="M9" i="19"/>
  <c r="Y29" i="19"/>
  <c r="AD57" i="1"/>
  <c r="AE58" i="1"/>
  <c r="AD58" i="1" s="1"/>
  <c r="AM46" i="19"/>
  <c r="U36" i="19"/>
  <c r="AG16" i="19"/>
  <c r="O6" i="19"/>
  <c r="AA36" i="19"/>
  <c r="AM16" i="19"/>
  <c r="U6" i="19"/>
  <c r="AG46" i="19"/>
  <c r="AA16" i="19"/>
  <c r="AF16" i="1"/>
  <c r="AA6" i="19"/>
  <c r="AG6" i="19"/>
  <c r="AA46" i="19"/>
  <c r="AM26" i="19"/>
  <c r="U16" i="19"/>
  <c r="O36" i="19"/>
  <c r="U26" i="19"/>
  <c r="O46" i="19"/>
  <c r="AA26" i="19"/>
  <c r="AM6" i="19"/>
  <c r="U46" i="19"/>
  <c r="AG26" i="19"/>
  <c r="O16" i="19"/>
  <c r="AG36" i="19"/>
  <c r="O26" i="19"/>
  <c r="AM36" i="19"/>
  <c r="AD63" i="1"/>
  <c r="AE64" i="1"/>
  <c r="AD64" i="1" s="1"/>
  <c r="AE22" i="1"/>
  <c r="AD22" i="1" s="1"/>
  <c r="AD21" i="1"/>
  <c r="O8" i="19"/>
  <c r="AA48" i="19"/>
  <c r="AM38" i="19"/>
  <c r="U48" i="19"/>
  <c r="AA18" i="19"/>
  <c r="AG18" i="19"/>
  <c r="AG48" i="19"/>
  <c r="AM18" i="19"/>
  <c r="AA28" i="19"/>
  <c r="AG28" i="19"/>
  <c r="AA8" i="19"/>
  <c r="U18" i="19"/>
  <c r="AG38" i="19"/>
  <c r="U38" i="19"/>
  <c r="AM8" i="19"/>
  <c r="AA38" i="19"/>
  <c r="AM48" i="19"/>
  <c r="U28" i="19"/>
  <c r="O38" i="19"/>
  <c r="U8" i="19"/>
  <c r="AG8" i="19"/>
  <c r="AF28"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F56" i="1"/>
  <c r="M33" i="19"/>
  <c r="AF6" i="19"/>
  <c r="N46" i="19"/>
  <c r="Z26" i="19"/>
  <c r="AL6" i="19"/>
  <c r="AL36" i="19"/>
  <c r="AF26" i="19"/>
  <c r="Z6" i="19"/>
  <c r="T26" i="19"/>
  <c r="Z46" i="19"/>
  <c r="AF46" i="19"/>
  <c r="T46" i="19"/>
  <c r="T6" i="19"/>
  <c r="AF36" i="19"/>
  <c r="N26" i="19"/>
  <c r="Z16" i="19"/>
  <c r="AL26" i="19"/>
  <c r="Z36" i="19"/>
  <c r="N36" i="19"/>
  <c r="AL46" i="19"/>
  <c r="T36" i="19"/>
  <c r="AF16" i="19"/>
  <c r="N6" i="19"/>
  <c r="N16" i="19"/>
  <c r="AF15"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F64" i="1"/>
  <c r="AA14" i="19"/>
  <c r="O54" i="19"/>
  <c r="U44" i="19"/>
  <c r="U43" i="19"/>
  <c r="U13" i="19"/>
  <c r="AM53" i="19"/>
  <c r="AA53" i="19"/>
  <c r="AA43" i="19"/>
  <c r="O53" i="19"/>
  <c r="O23" i="19"/>
  <c r="O13" i="19"/>
  <c r="AG43" i="19"/>
  <c r="U33" i="19"/>
  <c r="U23" i="19"/>
  <c r="AM13" i="19"/>
  <c r="AM23" i="19"/>
  <c r="AG13" i="19"/>
  <c r="AA23" i="19"/>
  <c r="AG33" i="19"/>
  <c r="AA33" i="19"/>
  <c r="AM33" i="19"/>
  <c r="AA13" i="19"/>
  <c r="AF58"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63" i="1"/>
  <c r="AF53" i="19"/>
  <c r="T43" i="19"/>
  <c r="Z53" i="19"/>
  <c r="N43" i="19"/>
  <c r="T23" i="19"/>
  <c r="AF43" i="19"/>
  <c r="Z13" i="19"/>
  <c r="Z43" i="19"/>
  <c r="AF23" i="19"/>
  <c r="AL13" i="19"/>
  <c r="Z23" i="19"/>
  <c r="AL43" i="19"/>
  <c r="AF13" i="19"/>
  <c r="AL23" i="19"/>
  <c r="N13" i="19"/>
  <c r="T33" i="19"/>
  <c r="AL53" i="19"/>
  <c r="N23" i="19"/>
  <c r="N53" i="19"/>
  <c r="AF33" i="19"/>
  <c r="N33" i="19"/>
  <c r="AF57" i="1"/>
  <c r="T53" i="19"/>
  <c r="AL33" i="19"/>
  <c r="T13" i="19"/>
  <c r="Z33" i="19"/>
  <c r="Z47" i="19"/>
  <c r="T7" i="19"/>
  <c r="AL37" i="19"/>
  <c r="T17" i="19"/>
  <c r="Z17" i="19"/>
  <c r="AF7" i="19"/>
  <c r="AF37" i="19"/>
  <c r="N17" i="19"/>
  <c r="AF27" i="19"/>
  <c r="AF21"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F40"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F22" i="1"/>
  <c r="AA17" i="19"/>
  <c r="O7" i="19"/>
  <c r="AA37" i="19"/>
  <c r="AA27" i="19"/>
  <c r="AM27" i="19"/>
  <c r="U17" i="19"/>
  <c r="U47" i="19"/>
  <c r="AG17" i="19"/>
  <c r="O47" i="19"/>
  <c r="Z40" i="19"/>
  <c r="AF39"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N41" i="1" l="1"/>
  <c r="O41" i="1" s="1"/>
  <c r="N11" i="1"/>
  <c r="O11" i="1" s="1"/>
  <c r="N29" i="1"/>
  <c r="O29" i="1" s="1"/>
  <c r="N23" i="1"/>
  <c r="O23" i="1" s="1"/>
  <c r="N53" i="1"/>
  <c r="O53" i="1" s="1"/>
  <c r="N47" i="1"/>
  <c r="O47" i="1" s="1"/>
  <c r="N35" i="1"/>
  <c r="O35" i="1" s="1"/>
  <c r="N17" i="1"/>
  <c r="O17" i="1" s="1"/>
  <c r="N65" i="1"/>
  <c r="O65" i="1" s="1"/>
  <c r="N59" i="1"/>
  <c r="O59" i="1" s="1"/>
  <c r="X6" i="18" l="1"/>
  <c r="AJ30" i="18"/>
  <c r="R22" i="18"/>
  <c r="L6" i="18"/>
  <c r="R30" i="18"/>
  <c r="X22" i="18"/>
  <c r="X38" i="18"/>
  <c r="AD38" i="18"/>
  <c r="Q17" i="1"/>
  <c r="AD22" i="18"/>
  <c r="P17" i="1"/>
  <c r="AE17" i="1" s="1"/>
  <c r="AD17"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Q35" i="1"/>
  <c r="L32" i="18"/>
  <c r="X8" i="18"/>
  <c r="X24" i="18"/>
  <c r="AJ8" i="18"/>
  <c r="P35" i="1"/>
  <c r="AE35" i="1" s="1"/>
  <c r="AD35" i="1" s="1"/>
  <c r="R40" i="18"/>
  <c r="L40" i="18"/>
  <c r="X16" i="18"/>
  <c r="L24" i="18"/>
  <c r="AJ24" i="18"/>
  <c r="X32" i="18"/>
  <c r="AJ40" i="18"/>
  <c r="R16" i="18"/>
  <c r="AD40" i="18"/>
  <c r="AD32" i="18"/>
  <c r="AD16" i="18"/>
  <c r="P47" i="1"/>
  <c r="AE47" i="1" s="1"/>
  <c r="AD47" i="1" s="1"/>
  <c r="J42" i="18"/>
  <c r="P34" i="18"/>
  <c r="AB18" i="18"/>
  <c r="AB42" i="18"/>
  <c r="AH34" i="18"/>
  <c r="P10" i="18"/>
  <c r="V34" i="18"/>
  <c r="P42" i="18"/>
  <c r="V42" i="18"/>
  <c r="AH42" i="18"/>
  <c r="AB26" i="18"/>
  <c r="AH26" i="18"/>
  <c r="V26" i="18"/>
  <c r="AB34" i="18"/>
  <c r="V10" i="18"/>
  <c r="AH18" i="18"/>
  <c r="J34" i="18"/>
  <c r="J10" i="18"/>
  <c r="AB10" i="18"/>
  <c r="J18" i="18"/>
  <c r="Q47" i="1"/>
  <c r="P26" i="18"/>
  <c r="J26" i="18"/>
  <c r="AH10" i="18"/>
  <c r="P18" i="18"/>
  <c r="V18" i="18"/>
  <c r="X42" i="18"/>
  <c r="AD34" i="18"/>
  <c r="AD10" i="18"/>
  <c r="AD26" i="18"/>
  <c r="L10" i="18"/>
  <c r="L42" i="18"/>
  <c r="L26" i="18"/>
  <c r="X18" i="18"/>
  <c r="X34" i="18"/>
  <c r="X10" i="18"/>
  <c r="R18" i="18"/>
  <c r="AJ10" i="18"/>
  <c r="AD42" i="18"/>
  <c r="AJ34" i="18"/>
  <c r="R26" i="18"/>
  <c r="P53" i="1"/>
  <c r="AE53" i="1" s="1"/>
  <c r="L18" i="18"/>
  <c r="AJ26" i="18"/>
  <c r="AD18" i="18"/>
  <c r="R34" i="18"/>
  <c r="L34" i="18"/>
  <c r="AJ42" i="18"/>
  <c r="R10" i="18"/>
  <c r="R42" i="18"/>
  <c r="X26" i="18"/>
  <c r="AJ18" i="18"/>
  <c r="Q53" i="1"/>
  <c r="T14" i="18"/>
  <c r="AL38" i="18"/>
  <c r="N14" i="18"/>
  <c r="Z6" i="18"/>
  <c r="T38" i="18"/>
  <c r="T22" i="18"/>
  <c r="AL14" i="18"/>
  <c r="N22" i="18"/>
  <c r="Q23" i="1"/>
  <c r="AF22" i="18"/>
  <c r="N6" i="18"/>
  <c r="AF6" i="18"/>
  <c r="AF38" i="18"/>
  <c r="P23" i="1"/>
  <c r="AE23" i="1" s="1"/>
  <c r="N38" i="18"/>
  <c r="AL30" i="18"/>
  <c r="AL22" i="18"/>
  <c r="T6" i="18"/>
  <c r="AF14" i="18"/>
  <c r="AF30" i="18"/>
  <c r="Z22" i="18"/>
  <c r="T30" i="18"/>
  <c r="Z30" i="18"/>
  <c r="AL6" i="18"/>
  <c r="Z14" i="18"/>
  <c r="Z38" i="18"/>
  <c r="N30" i="18"/>
  <c r="J40" i="18"/>
  <c r="AB40" i="18"/>
  <c r="AH32" i="18"/>
  <c r="AB24" i="18"/>
  <c r="V16" i="18"/>
  <c r="P29" i="1"/>
  <c r="AE29" i="1" s="1"/>
  <c r="AD29" i="1" s="1"/>
  <c r="J16" i="18"/>
  <c r="P32" i="18"/>
  <c r="V24" i="18"/>
  <c r="P24" i="18"/>
  <c r="V40" i="18"/>
  <c r="P16" i="18"/>
  <c r="P40" i="18"/>
  <c r="V32" i="18"/>
  <c r="AH16" i="18"/>
  <c r="AB16" i="18"/>
  <c r="V8" i="18"/>
  <c r="AH24" i="18"/>
  <c r="AH8" i="18"/>
  <c r="AH40" i="18"/>
  <c r="J8" i="18"/>
  <c r="AB32" i="18"/>
  <c r="AB8" i="18"/>
  <c r="J24" i="18"/>
  <c r="J32" i="18"/>
  <c r="P8" i="18"/>
  <c r="Q29" i="1"/>
  <c r="Z42" i="18"/>
  <c r="T18" i="18"/>
  <c r="AF34" i="18"/>
  <c r="AF42" i="18"/>
  <c r="N42" i="18"/>
  <c r="Z18" i="18"/>
  <c r="AL10" i="18"/>
  <c r="AL26" i="18"/>
  <c r="AF26" i="18"/>
  <c r="Z10" i="18"/>
  <c r="N18" i="18"/>
  <c r="T26" i="18"/>
  <c r="AF10" i="18"/>
  <c r="T34" i="18"/>
  <c r="N26" i="18"/>
  <c r="AL18" i="18"/>
  <c r="N10" i="18"/>
  <c r="AF18" i="18"/>
  <c r="Z26" i="18"/>
  <c r="AL34" i="18"/>
  <c r="P59" i="1"/>
  <c r="AE59" i="1" s="1"/>
  <c r="AD59" i="1" s="1"/>
  <c r="Z34" i="18"/>
  <c r="T10" i="18"/>
  <c r="Q59" i="1"/>
  <c r="AL42" i="18"/>
  <c r="N34" i="18"/>
  <c r="T42" i="18"/>
  <c r="P14" i="18"/>
  <c r="V22" i="18"/>
  <c r="V14" i="18"/>
  <c r="P22" i="18"/>
  <c r="V38" i="18"/>
  <c r="AH14" i="18"/>
  <c r="AH38" i="18"/>
  <c r="J14" i="18"/>
  <c r="AB22" i="18"/>
  <c r="V30" i="18"/>
  <c r="AB14" i="18"/>
  <c r="AB38" i="18"/>
  <c r="J30" i="18"/>
  <c r="P38" i="18"/>
  <c r="AB6" i="18"/>
  <c r="P11" i="1"/>
  <c r="AE11" i="1" s="1"/>
  <c r="AH30" i="18"/>
  <c r="J38" i="18"/>
  <c r="AH6" i="18"/>
  <c r="V6" i="18"/>
  <c r="AB30" i="18"/>
  <c r="J22" i="18"/>
  <c r="J6" i="18"/>
  <c r="P30" i="18"/>
  <c r="AH22" i="18"/>
  <c r="P6" i="18"/>
  <c r="Q11" i="1"/>
  <c r="AH12" i="18"/>
  <c r="J20" i="18"/>
  <c r="J44" i="18"/>
  <c r="AB28" i="18"/>
  <c r="P28" i="18"/>
  <c r="Q65" i="1"/>
  <c r="P12" i="18"/>
  <c r="AH20" i="18"/>
  <c r="P44" i="18"/>
  <c r="AB12" i="18"/>
  <c r="P20" i="18"/>
  <c r="J36" i="18"/>
  <c r="P36" i="18"/>
  <c r="AB44" i="18"/>
  <c r="V44" i="18"/>
  <c r="J28" i="18"/>
  <c r="AH36" i="18"/>
  <c r="V12" i="18"/>
  <c r="V28" i="18"/>
  <c r="AH44" i="18"/>
  <c r="AB20" i="18"/>
  <c r="AB36" i="18"/>
  <c r="AH28" i="18"/>
  <c r="V36" i="18"/>
  <c r="V20" i="18"/>
  <c r="P65" i="1"/>
  <c r="AE65" i="1" s="1"/>
  <c r="AD65" i="1" s="1"/>
  <c r="J12" i="18"/>
  <c r="AF24" i="18"/>
  <c r="AF32" i="18"/>
  <c r="T40" i="18"/>
  <c r="P41" i="1"/>
  <c r="AE41" i="1" s="1"/>
  <c r="AD41" i="1" s="1"/>
  <c r="Z40" i="18"/>
  <c r="AL8" i="18"/>
  <c r="AF8" i="18"/>
  <c r="T8" i="18"/>
  <c r="Z16" i="18"/>
  <c r="T24" i="18"/>
  <c r="AL24" i="18"/>
  <c r="Z32" i="18"/>
  <c r="N32" i="18"/>
  <c r="N16" i="18"/>
  <c r="Z8" i="18"/>
  <c r="AL40" i="18"/>
  <c r="N8" i="18"/>
  <c r="N24" i="18"/>
  <c r="T32" i="18"/>
  <c r="T16" i="18"/>
  <c r="AF40" i="18"/>
  <c r="AF16" i="18"/>
  <c r="AL32" i="18"/>
  <c r="N40" i="18"/>
  <c r="Z24" i="18"/>
  <c r="AL16" i="18"/>
  <c r="Q41" i="1"/>
  <c r="AD53" i="1" l="1"/>
  <c r="AE54" i="1"/>
  <c r="AD54" i="1" s="1"/>
  <c r="J12" i="19"/>
  <c r="J22" i="19"/>
  <c r="J42" i="19"/>
  <c r="AH32" i="19"/>
  <c r="V12" i="19"/>
  <c r="AH22" i="19"/>
  <c r="J32" i="19"/>
  <c r="V22" i="19"/>
  <c r="AH42" i="19"/>
  <c r="AB32" i="19"/>
  <c r="V52" i="19"/>
  <c r="P22" i="19"/>
  <c r="AH12" i="19"/>
  <c r="V42" i="19"/>
  <c r="P52" i="19"/>
  <c r="V32" i="19"/>
  <c r="AB52" i="19"/>
  <c r="J52" i="19"/>
  <c r="P32" i="19"/>
  <c r="AB42" i="19"/>
  <c r="AB22" i="19"/>
  <c r="P12" i="19"/>
  <c r="P42" i="19"/>
  <c r="AF47" i="1"/>
  <c r="AB12" i="19"/>
  <c r="AH52"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F35" i="1"/>
  <c r="P40" i="19"/>
  <c r="AD23" i="1"/>
  <c r="P48" i="19" s="1"/>
  <c r="AE24" i="1"/>
  <c r="AD24" i="1" s="1"/>
  <c r="P54" i="19"/>
  <c r="AB54" i="19"/>
  <c r="J54" i="19"/>
  <c r="AH24" i="19"/>
  <c r="P14" i="19"/>
  <c r="P34" i="19"/>
  <c r="J24" i="19"/>
  <c r="AH14" i="19"/>
  <c r="AH54" i="19"/>
  <c r="AH44" i="19"/>
  <c r="V34" i="19"/>
  <c r="V24" i="19"/>
  <c r="J34" i="19"/>
  <c r="P44" i="19"/>
  <c r="AB14" i="19"/>
  <c r="AF59" i="1"/>
  <c r="V54" i="19"/>
  <c r="AB44" i="19"/>
  <c r="AB24" i="19"/>
  <c r="P24" i="19"/>
  <c r="AH34" i="19"/>
  <c r="V14" i="19"/>
  <c r="J14" i="19"/>
  <c r="AB34" i="19"/>
  <c r="V44" i="19"/>
  <c r="J44" i="19"/>
  <c r="AF53" i="1"/>
  <c r="J23" i="19"/>
  <c r="V33" i="19"/>
  <c r="J53" i="19"/>
  <c r="V43" i="19"/>
  <c r="V53" i="19"/>
  <c r="P23" i="19"/>
  <c r="AB33" i="19"/>
  <c r="AB43" i="19"/>
  <c r="P13" i="19"/>
  <c r="AH43" i="19"/>
  <c r="J13" i="19"/>
  <c r="AH33" i="19"/>
  <c r="AB13" i="19"/>
  <c r="AB53" i="19"/>
  <c r="V23" i="19"/>
  <c r="J33" i="19"/>
  <c r="V13" i="19"/>
  <c r="P43" i="19"/>
  <c r="J43" i="19"/>
  <c r="AH13" i="19"/>
  <c r="P33" i="19"/>
  <c r="AB23" i="19"/>
  <c r="AH23" i="19"/>
  <c r="P53" i="19"/>
  <c r="AH53" i="19"/>
  <c r="V11" i="19"/>
  <c r="AB41" i="19"/>
  <c r="J21" i="19"/>
  <c r="V41" i="19"/>
  <c r="P51" i="19"/>
  <c r="J51" i="19"/>
  <c r="P11" i="19"/>
  <c r="AB21" i="19"/>
  <c r="AF41" i="1"/>
  <c r="AB31" i="19"/>
  <c r="V31" i="19"/>
  <c r="V21" i="19"/>
  <c r="AH51" i="19"/>
  <c r="P31" i="19"/>
  <c r="AH41" i="19"/>
  <c r="AB51" i="19"/>
  <c r="AH21" i="19"/>
  <c r="AH31" i="19"/>
  <c r="AH11" i="19"/>
  <c r="J11" i="19"/>
  <c r="J31" i="19"/>
  <c r="P41" i="19"/>
  <c r="P21" i="19"/>
  <c r="AB11" i="19"/>
  <c r="V51" i="19"/>
  <c r="J41" i="19"/>
  <c r="AB39" i="19"/>
  <c r="AB9" i="19"/>
  <c r="J29" i="19"/>
  <c r="AB49" i="19"/>
  <c r="P19" i="19"/>
  <c r="AH19" i="19"/>
  <c r="AH39" i="19"/>
  <c r="J39" i="19"/>
  <c r="P29" i="19"/>
  <c r="V19" i="19"/>
  <c r="AH49" i="19"/>
  <c r="V39" i="19"/>
  <c r="J19" i="19"/>
  <c r="AB29" i="19"/>
  <c r="V49" i="19"/>
  <c r="AH29" i="19"/>
  <c r="AF29" i="1"/>
  <c r="P39" i="19"/>
  <c r="V9" i="19"/>
  <c r="V29" i="19"/>
  <c r="P49" i="19"/>
  <c r="AB19" i="19"/>
  <c r="P9" i="19"/>
  <c r="AH9" i="19"/>
  <c r="J49" i="19"/>
  <c r="J9" i="19"/>
  <c r="AH7" i="19"/>
  <c r="V47" i="19"/>
  <c r="J27" i="19"/>
  <c r="AB7" i="19"/>
  <c r="P37" i="19"/>
  <c r="AH17" i="19"/>
  <c r="J37" i="19"/>
  <c r="V7" i="19"/>
  <c r="P17" i="19"/>
  <c r="AB17" i="19"/>
  <c r="P7" i="19"/>
  <c r="P47" i="19"/>
  <c r="J47" i="19"/>
  <c r="AB27" i="19"/>
  <c r="AF17" i="1"/>
  <c r="AH37" i="19"/>
  <c r="V17" i="19"/>
  <c r="J7" i="19"/>
  <c r="AH27" i="19"/>
  <c r="J17" i="19"/>
  <c r="AB37" i="19"/>
  <c r="P27" i="19"/>
  <c r="AH47" i="19"/>
  <c r="V37" i="19"/>
  <c r="AB47" i="19"/>
  <c r="V27" i="19"/>
  <c r="AD11" i="1"/>
  <c r="P16" i="19" s="1"/>
  <c r="AE12" i="1"/>
  <c r="AD12" i="1" s="1"/>
  <c r="V25" i="19"/>
  <c r="V45" i="19"/>
  <c r="J15" i="19"/>
  <c r="AB45" i="19"/>
  <c r="AH25" i="19"/>
  <c r="AH55" i="19"/>
  <c r="AB15" i="19"/>
  <c r="P15" i="19"/>
  <c r="P45" i="19"/>
  <c r="V15" i="19"/>
  <c r="J35" i="19"/>
  <c r="AH45" i="19"/>
  <c r="J25" i="19"/>
  <c r="AB35" i="19"/>
  <c r="AH15" i="19"/>
  <c r="V35" i="19"/>
  <c r="J55" i="19"/>
  <c r="AB55" i="19"/>
  <c r="AF65" i="1"/>
  <c r="AB25" i="19"/>
  <c r="AH35" i="19"/>
  <c r="P55" i="19"/>
  <c r="J45" i="19"/>
  <c r="P25" i="19"/>
  <c r="P35" i="19"/>
  <c r="V55" i="19"/>
  <c r="K23" i="19" l="1"/>
  <c r="W43" i="19"/>
  <c r="K33" i="19"/>
  <c r="AF54" i="1"/>
  <c r="AC23" i="19"/>
  <c r="Q13" i="19"/>
  <c r="Q23" i="19"/>
  <c r="AI43" i="19"/>
  <c r="K13" i="19"/>
  <c r="K43" i="19"/>
  <c r="Q33" i="19"/>
  <c r="AC13" i="19"/>
  <c r="W13" i="19"/>
  <c r="W53" i="19"/>
  <c r="AC43" i="19"/>
  <c r="Q53" i="19"/>
  <c r="AI33" i="19"/>
  <c r="AI23" i="19"/>
  <c r="W23" i="19"/>
  <c r="AI13" i="19"/>
  <c r="AC53" i="19"/>
  <c r="AI53" i="19"/>
  <c r="AC33" i="19"/>
  <c r="K53" i="19"/>
  <c r="W33" i="19"/>
  <c r="Q43" i="19"/>
  <c r="P18" i="19"/>
  <c r="AH48" i="19"/>
  <c r="AH28" i="19"/>
  <c r="J18" i="19"/>
  <c r="AB8" i="19"/>
  <c r="AH38" i="19"/>
  <c r="V48" i="19"/>
  <c r="AB28" i="19"/>
  <c r="J48" i="19"/>
  <c r="V18" i="19"/>
  <c r="AB48" i="19"/>
  <c r="AB18" i="19"/>
  <c r="AF23" i="1"/>
  <c r="P8" i="19"/>
  <c r="V38" i="19"/>
  <c r="V28" i="19"/>
  <c r="J38" i="19"/>
  <c r="V8" i="19"/>
  <c r="J8" i="19"/>
  <c r="P38" i="19"/>
  <c r="AB38" i="19"/>
  <c r="P28" i="19"/>
  <c r="J28" i="19"/>
  <c r="AH18" i="19"/>
  <c r="AH8" i="19"/>
  <c r="AC18" i="19"/>
  <c r="AC8" i="19"/>
  <c r="W18" i="19"/>
  <c r="AI8" i="19"/>
  <c r="Q48" i="19"/>
  <c r="AC38" i="19"/>
  <c r="Q28" i="19"/>
  <c r="AI48" i="19"/>
  <c r="W8" i="19"/>
  <c r="Q8" i="19"/>
  <c r="K48" i="19"/>
  <c r="AC48" i="19"/>
  <c r="AF24" i="1"/>
  <c r="W38" i="19"/>
  <c r="AI28" i="19"/>
  <c r="K38" i="19"/>
  <c r="W48" i="19"/>
  <c r="Q38" i="19"/>
  <c r="AI38" i="19"/>
  <c r="K18" i="19"/>
  <c r="K8" i="19"/>
  <c r="AC28" i="19"/>
  <c r="AI18" i="19"/>
  <c r="K28" i="19"/>
  <c r="Q18" i="19"/>
  <c r="W28" i="19"/>
  <c r="V36" i="19"/>
  <c r="V6" i="19"/>
  <c r="V16" i="19"/>
  <c r="P26" i="19"/>
  <c r="J26" i="19"/>
  <c r="V26" i="19"/>
  <c r="J36" i="19"/>
  <c r="J16" i="19"/>
  <c r="P36" i="19"/>
  <c r="AB26" i="19"/>
  <c r="AB36" i="19"/>
  <c r="J6" i="19"/>
  <c r="P46" i="19"/>
  <c r="AB6" i="19"/>
  <c r="AH36" i="19"/>
  <c r="AB46" i="19"/>
  <c r="AH46" i="19"/>
  <c r="V46" i="19"/>
  <c r="AH16" i="19"/>
  <c r="AH26" i="19"/>
  <c r="AH6" i="19"/>
  <c r="J46" i="19"/>
  <c r="AF11" i="1"/>
  <c r="AB16" i="19"/>
  <c r="P6" i="19"/>
  <c r="W36" i="19"/>
  <c r="AC36" i="19"/>
  <c r="K16" i="19"/>
  <c r="AI36" i="19"/>
  <c r="K46" i="19"/>
  <c r="AI46" i="19"/>
  <c r="AC46" i="19"/>
  <c r="Q46" i="19"/>
  <c r="AC26" i="19"/>
  <c r="AC16" i="19"/>
  <c r="W16" i="19"/>
  <c r="K36" i="19"/>
  <c r="Q26" i="19"/>
  <c r="AF12" i="1"/>
  <c r="Q6" i="19"/>
  <c r="K6" i="19"/>
  <c r="Q16" i="19"/>
  <c r="Q36" i="19"/>
  <c r="AC6" i="19"/>
  <c r="AI6" i="19"/>
  <c r="AI16" i="19"/>
  <c r="W6" i="19"/>
  <c r="AI26" i="19"/>
  <c r="W26" i="19"/>
  <c r="K26" i="19"/>
  <c r="W46" i="19"/>
</calcChain>
</file>

<file path=xl/comments1.xml><?xml version="1.0" encoding="utf-8"?>
<comments xmlns="http://schemas.openxmlformats.org/spreadsheetml/2006/main">
  <authors>
    <author>Ing. Andru</author>
    <author>User</author>
  </authors>
  <commentList>
    <comment ref="D6" authorId="0" shapeId="0">
      <text>
        <r>
          <rPr>
            <b/>
            <sz val="9"/>
            <color indexed="81"/>
            <rFont val="Tahoma"/>
            <family val="2"/>
          </rPr>
          <t>Traer la Información de la caracterización del proceso.</t>
        </r>
      </text>
    </comment>
    <comment ref="D7" authorId="0" shapeId="0">
      <text>
        <r>
          <rPr>
            <b/>
            <sz val="9"/>
            <color indexed="81"/>
            <rFont val="Tahoma"/>
            <family val="2"/>
          </rPr>
          <t>Traer la Información de la caracterización del proceso.</t>
        </r>
        <r>
          <rPr>
            <sz val="9"/>
            <color indexed="81"/>
            <rFont val="Tahoma"/>
            <family val="2"/>
          </rPr>
          <t xml:space="preserve">
</t>
        </r>
      </text>
    </comment>
    <comment ref="A9" authorId="0" shapeId="0">
      <text>
        <r>
          <rPr>
            <b/>
            <sz val="9"/>
            <color indexed="81"/>
            <rFont val="Tahoma"/>
            <family val="2"/>
          </rPr>
          <t>Número consecutivo de los riesgos que se identifican.</t>
        </r>
        <r>
          <rPr>
            <sz val="9"/>
            <color indexed="81"/>
            <rFont val="Tahoma"/>
            <family val="2"/>
          </rPr>
          <t xml:space="preserve">
</t>
        </r>
      </text>
    </comment>
    <comment ref="B9" authorId="0" shapeId="0">
      <text>
        <r>
          <rPr>
            <b/>
            <sz val="9"/>
            <color indexed="81"/>
            <rFont val="Tahoma"/>
            <family val="2"/>
          </rPr>
          <t>Consulte su matriz de activos de información.</t>
        </r>
      </text>
    </comment>
    <comment ref="C9" authorId="1" shapeId="0">
      <text>
        <r>
          <rPr>
            <b/>
            <sz val="9"/>
            <color indexed="81"/>
            <rFont val="Tahoma"/>
            <family val="2"/>
          </rPr>
          <t>Consulte su matriz de activos de información.</t>
        </r>
      </text>
    </comment>
    <comment ref="E9" authorId="0" shapeId="0">
      <text>
        <r>
          <rPr>
            <b/>
            <sz val="9"/>
            <color indexed="81"/>
            <rFont val="Tahoma"/>
            <family val="2"/>
          </rPr>
          <t>En el manual de gestión de riesgos de seguridad de la información, encontrará sugerencias de AMENAZAS que puede usar o ajustar según se requiera.</t>
        </r>
      </text>
    </comment>
    <comment ref="F9" authorId="0" shapeId="0">
      <text>
        <r>
          <rPr>
            <b/>
            <sz val="9"/>
            <color indexed="81"/>
            <rFont val="Tahoma"/>
            <family val="2"/>
          </rPr>
          <t>En el manual de gestión de riesgos de seguridad de la información, encontrará sugerencias de VULNERABILIDADES que puede usar o ajustar según se requiera.</t>
        </r>
        <r>
          <rPr>
            <sz val="9"/>
            <color indexed="81"/>
            <rFont val="Tahoma"/>
            <family val="2"/>
          </rPr>
          <t xml:space="preserve">
</t>
        </r>
      </text>
    </comment>
    <comment ref="T9" authorId="0" shapeId="0">
      <text>
        <r>
          <rPr>
            <b/>
            <sz val="9"/>
            <color indexed="81"/>
            <rFont val="Tahoma"/>
            <family val="2"/>
          </rPr>
          <t>Este campo es automático y se diligencia al seleccionar el tipo de control (Columna T)</t>
        </r>
      </text>
    </comment>
  </commentList>
</comments>
</file>

<file path=xl/sharedStrings.xml><?xml version="1.0" encoding="utf-8"?>
<sst xmlns="http://schemas.openxmlformats.org/spreadsheetml/2006/main" count="593" uniqueCount="348">
  <si>
    <t xml:space="preserve">Referencia </t>
  </si>
  <si>
    <t>Descripción del Riesgo</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</si>
  <si>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</si>
  <si>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</si>
  <si>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</si>
  <si>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</si>
  <si>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</si>
  <si>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</si>
  <si>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</si>
  <si>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</si>
  <si>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</si>
  <si>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</si>
  <si>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</si>
  <si>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</si>
  <si>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</si>
  <si>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</si>
  <si>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</si>
  <si>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</si>
  <si>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</si>
  <si>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</si>
  <si>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</si>
  <si>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</si>
  <si>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</si>
  <si>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</si>
  <si>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</si>
  <si>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</si>
  <si>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</si>
  <si>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</si>
  <si>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</si>
  <si>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</si>
  <si>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</si>
  <si>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</si>
  <si>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</si>
  <si>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</si>
  <si>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</si>
  <si>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</si>
  <si>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</si>
  <si>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</si>
  <si>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</si>
  <si>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</si>
  <si>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</si>
  <si>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</si>
  <si>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</si>
  <si>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</si>
  <si>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</si>
  <si>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</si>
  <si>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</si>
  <si>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</si>
  <si>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</si>
  <si>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</si>
  <si>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</si>
  <si>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</si>
  <si>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</si>
  <si>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</si>
  <si>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</si>
  <si>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</si>
  <si>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</si>
  <si>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</si>
  <si>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</si>
  <si>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</si>
  <si>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</si>
  <si>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</si>
  <si>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</si>
  <si>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</si>
  <si>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</si>
  <si>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</si>
  <si>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</si>
  <si>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</si>
  <si>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</si>
  <si>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</si>
  <si>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</si>
  <si>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</si>
  <si>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</si>
  <si>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</si>
  <si>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</si>
  <si>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</si>
  <si>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</si>
  <si>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</si>
  <si>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</si>
  <si>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</si>
  <si>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</si>
  <si>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</si>
  <si>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</si>
  <si>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</si>
  <si>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</si>
  <si>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</si>
  <si>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</si>
  <si>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</si>
  <si>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</si>
  <si>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</si>
  <si>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</si>
  <si>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</si>
  <si>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</si>
  <si>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</si>
  <si>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</si>
  <si>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</si>
  <si>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</si>
  <si>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</si>
  <si>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</si>
  <si>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</si>
  <si>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</si>
  <si>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</si>
  <si>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</si>
  <si>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</si>
  <si>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</si>
  <si>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</si>
  <si>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</si>
  <si>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</si>
  <si>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</si>
  <si>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</si>
  <si>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</si>
  <si>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</si>
  <si>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</si>
  <si>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</si>
  <si>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</si>
  <si>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Objetivo:</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</si>
  <si>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</si>
  <si>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</si>
  <si>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</si>
  <si>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</si>
  <si>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</si>
  <si>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</si>
  <si>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</si>
  <si>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</si>
  <si>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</si>
  <si>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</si>
  <si>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</si>
  <si>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</si>
  <si>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</si>
  <si>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</si>
  <si>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</si>
  <si>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</si>
  <si>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</si>
  <si>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</si>
  <si>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</si>
  <si>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</si>
  <si>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</si>
  <si>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</si>
  <si>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</si>
  <si>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</si>
  <si>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</si>
  <si>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</si>
  <si>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</si>
  <si>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</si>
  <si>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</si>
  <si>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</si>
  <si>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</si>
  <si>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</si>
  <si>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</si>
  <si>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</si>
  <si>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</si>
  <si>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</si>
  <si>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Criterios de Impacto</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</si>
  <si>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</si>
  <si>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</si>
  <si>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</si>
  <si>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</si>
  <si>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</si>
  <si>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</si>
  <si>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</si>
  <si>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</si>
  <si>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r>
      <t xml:space="preserve">Plan de Acción
</t>
    </r>
    <r>
      <rPr>
        <sz val="9"/>
        <rFont val="Arial Narrow"/>
        <family val="2"/>
      </rPr>
      <t xml:space="preserve">Responsable, fecha implementación, fecha seguimiento, seguimiento. </t>
    </r>
  </si>
  <si>
    <t>Proceso</t>
  </si>
  <si>
    <t>Objetivo</t>
  </si>
  <si>
    <t>Alcance</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</si>
  <si>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</si>
  <si>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</si>
  <si>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</si>
  <si>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</si>
  <si>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</si>
  <si>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</si>
  <si>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</si>
  <si>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</si>
  <si>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Dependencia:</t>
  </si>
  <si>
    <t>Procesos</t>
  </si>
  <si>
    <t>Dependencias</t>
  </si>
  <si>
    <t>Despacho</t>
  </si>
  <si>
    <t>Subsecretaría de la Políticas de Igualdad</t>
  </si>
  <si>
    <t>Subsecretaría de Fortalecimiento de Capacidades y Oportunidades</t>
  </si>
  <si>
    <t>Subsecretaría de Gestión Corporativa</t>
  </si>
  <si>
    <t>AMENAZA (Causa Inmediata)</t>
  </si>
  <si>
    <t>VULNERABILIDAD (Causa Raíz)</t>
  </si>
  <si>
    <t>TIPO DE ACTIVO</t>
  </si>
  <si>
    <t>Tipo de Activo</t>
  </si>
  <si>
    <t>Información</t>
  </si>
  <si>
    <t>Hardware</t>
  </si>
  <si>
    <t>Software</t>
  </si>
  <si>
    <t>Servicios</t>
  </si>
  <si>
    <t>Recurso Humano</t>
  </si>
  <si>
    <t>BD Personales</t>
  </si>
  <si>
    <t>Infraestructura Crítica Cibernética</t>
  </si>
  <si>
    <t>Tipo de Riesgo</t>
  </si>
  <si>
    <t>1. Posibilidad de pérdida de Confidencialidad</t>
  </si>
  <si>
    <t>2. Posibilidad de pérdida de Integridad</t>
  </si>
  <si>
    <t>3. Posibilidad de pérdida de Disponibilidad</t>
  </si>
  <si>
    <t>1. Posibilidad de pérdida de confidencialidad, divulgación no autorizada o mal uso de la información de datos personales.</t>
  </si>
  <si>
    <t>2. Posibilidad de pérdida de integridad, alteración, o modificación de la Información de datos personales.</t>
  </si>
  <si>
    <t>3. Posibilidad de afectación de la disponibilidad de la plataforma tecnológica o aplicativos que gestionan datos personales.</t>
  </si>
  <si>
    <t>4. Posibilidad de sanciones por incumplimiento de las directrices o normativas frente al tratamiento de los datos personales.</t>
  </si>
  <si>
    <t>TIPOS DE RIESGOS</t>
  </si>
  <si>
    <t>Etiquetas de fila</t>
  </si>
  <si>
    <t>Total general</t>
  </si>
  <si>
    <t>***Riesgos de Seguridad de la Información</t>
  </si>
  <si>
    <t>***Riesgos de Datos Personales</t>
  </si>
  <si>
    <t>Tabla Atributos para el diseño del control</t>
  </si>
  <si>
    <t>La actividad que conlleva el riesgo se ejecuta como máximos 5 veces por año</t>
  </si>
  <si>
    <t>La actividad que conlleva el riesgo se ejecuta de 6 a 24 veces por año</t>
  </si>
  <si>
    <t>La actividad que conlleva el riesgo se ejecuta de 25 a 150 veces por año</t>
  </si>
  <si>
    <t>La actividad que conlleva el riesgo se ejecuta mínimo 150 veces al año y máximo 300 veces por año</t>
  </si>
  <si>
    <t>La actividad que conlleva el riesgo se ejecuta más de 301 veces por año</t>
  </si>
  <si>
    <t>Sin Iniciar</t>
  </si>
  <si>
    <t>1. Ejecucion y Administracion de procesos</t>
  </si>
  <si>
    <t>2. Fraude Externo</t>
  </si>
  <si>
    <t>3. Fraude Interno</t>
  </si>
  <si>
    <t>4. Fallas Tecnologicas</t>
  </si>
  <si>
    <t>5. Relaciones Laborales</t>
  </si>
  <si>
    <t>6. Usuarios, productos y practicas , organizacionales</t>
  </si>
  <si>
    <t>7. Daños Activos Fisicos</t>
  </si>
  <si>
    <t>Dependencia</t>
  </si>
  <si>
    <t>Seleccione de la lista desplegable el nombre del proceso al cual se le identificarán y valorarán los riesgos.</t>
  </si>
  <si>
    <t>Seleccione de la lista desplegable el nombre de la dependencia al cual se le identificarán y valorarán los riesgos.</t>
  </si>
  <si>
    <t>Permite definir unl consecutivo de riesgos.</t>
  </si>
  <si>
    <t xml:space="preserve">Consulte la matriz de activos de su proceso o dependencia según corresponda, los activos se van a agrupar por tipo de activo (Información, Hardware, Software, Servicio, Bases de Datos Personales, Recurso Humano, Infraestructura Crítica Cibernética) para identificar los riesgos, amenazas y vulnerabilidades. En este campo en la lista desplegable seleccione el tipo de activo y consulte en la matriz de activos a qué hace referencia para definir la descripción del riesgo. </t>
  </si>
  <si>
    <t>Analice las consecuencias que puede ocasionar a la Entidad la materialización del riesgo.</t>
  </si>
  <si>
    <t>Consolida o resume los análisis sobre impacto + causa inmediata + causa raíz, permitiendo contar con una redacción clara y concreta del riesgo identificado. Tenga en cuenta que la descripción inicia con POSIBILIDAD DE + Tipo de Riesgo para la entidad + “AMENAZA - Causa Inmediata (Cómo)” + “VULNERABILIDADES - Causa Raíz (Por qué)”</t>
  </si>
  <si>
    <t>Permite identificar el número de controles que se van a aplicar.</t>
  </si>
  <si>
    <t>Este campo NO se diligencia, depende de lo que seleccione en la columna T(Tipo).</t>
  </si>
  <si>
    <t xml:space="preserve">Utilice la lista desplegable que se encuentra parametrizada, le aparecerán las opciones: 1) Preventivo, 2) Detectivo, 3) Correctivo, seleccione según corresponda. </t>
  </si>
  <si>
    <t>Utilice la lista desplegable que se encuentra parametrizada, le aparecerán las opciones: 1) Automático, 2) Manual, seleccione según corresponda.</t>
  </si>
  <si>
    <t xml:space="preserve">Este campo NO se diligencia, la matriz automáticamente hará el cálculo para el control analizado (Columna V) </t>
  </si>
  <si>
    <t>Utilice la lista desplegable que se encuentra parametrizada, le aparecerán las opciones: 1) Documentado, 2) Sin documentar.</t>
  </si>
  <si>
    <t>Utilice la lista desplegable que se encuentra parametrizada, le aparecerán las opciones: 1) Continua, 2) Aleatoria.</t>
  </si>
  <si>
    <t>Utilice la lista desplegable que se encuentra parametrizada, le aparecerán las opciones: 1) Con Registro, 2) Sin Registro.</t>
  </si>
  <si>
    <t>Evaluación del Nivel de Riesgo - Nivel de Riesgo Residual
•	Probabilidad Residual (Z)
•	Probabilidad Residual Final (AA)
•	% (AB)
•	Impacto Residual Final (AC)
•	% (AD)
•	Zona de Riesgo Final (AE)</t>
  </si>
  <si>
    <t>Estos campos NO se diligencian, la matriz automáticamente hará el cálculo, acorde con el control o controles definidos con sus atributos analizados, lo que permitirá establecer el nivel de riesgo inherente (Columnas Z y AB,  AC - AE).</t>
  </si>
  <si>
    <t>Utilice la lista desplegable que se encuentra parametrizada, le aparecerán las opciones: 1) Aceptar, 2) Evitar, 3) Reducir (compartir), 4) 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</si>
  <si>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tercerización), indicando información relevante. </t>
  </si>
  <si>
    <t>Utilice la lista desplegable que se encuentra parametrizada, le aparecerán las opciones: 1) Finalizado, 2) En curso, 3) Sin Iniciar, la selección en este caso dependerá de las acciones del plan que se hayan establecido en cada caso.</t>
  </si>
  <si>
    <t>OFICINA DE CONTROL INTERNO</t>
  </si>
  <si>
    <t>OFICINA ASESORA DE COMUNICACIONES</t>
  </si>
  <si>
    <t>OFICINA ASESORA DE PLANEACIÓN</t>
  </si>
  <si>
    <t>OFICINA DE TECNOLOGÍAS DE LA INFORMACIÓN</t>
  </si>
  <si>
    <t>DIRECCIÓN DE FOMENTO</t>
  </si>
  <si>
    <t>DIRECCIÓN DE ASUNTOS LOCALES Y PARTICIPACIÓN</t>
  </si>
  <si>
    <t>DIRECCIÓN DE PERSONAS JURÍDICAS</t>
  </si>
  <si>
    <t>GESTIÓN DOCUMENTAL</t>
  </si>
  <si>
    <t xml:space="preserve">GESTIÓN DEL DIRECCIONAMIENTO ESTRATÉGICO </t>
  </si>
  <si>
    <t>GESTIÓN  JURÍDICA</t>
  </si>
  <si>
    <t xml:space="preserve">GESTIÓN ADMINISTRATIVA </t>
  </si>
  <si>
    <t>GESTIÓN CONTRACTUAL</t>
  </si>
  <si>
    <t xml:space="preserve">GESTIÓN DE INVESTIGACIONES, OBSERVACIONES Y ANALÍTICA DE LA CULTURA, LA RECREACIÓN Y EL DEPORTE </t>
  </si>
  <si>
    <t xml:space="preserve">GESTIÓN DE LA APROPIACIÓN DE LA INFRAESTRUCTURA Y PATRIMONIO CULTURAL  
</t>
  </si>
  <si>
    <t xml:space="preserve">GESTIÓN DE LA COMUNICACIÓN ESTRATÉGICA  </t>
  </si>
  <si>
    <t xml:space="preserve">GESTIÓN DE LA CULTURA CIUDADANA  </t>
  </si>
  <si>
    <t xml:space="preserve">GESTIÓN DE LA EVALUACIÓN INDEPENDIENTE </t>
  </si>
  <si>
    <t xml:space="preserve">GESTIÓN DE LA FORMULACIÓN Y SEGUIMIENTO DE POLÍTICA PÚBLICA </t>
  </si>
  <si>
    <t xml:space="preserve">GESTIÓN DE LA MEJORA CONTINUA </t>
  </si>
  <si>
    <t xml:space="preserve">GESTIÓN DE LA PARTICIPACIÓN CIUDADANA </t>
  </si>
  <si>
    <t xml:space="preserve">GESTIÓN DE LA PROMOCIÓN DE AGENTES Y PRÁCTICAS CULTURALES Y RECREODEPORTIVAS  </t>
  </si>
  <si>
    <t xml:space="preserve">GESTIÓN DE TALENTO HUMANO </t>
  </si>
  <si>
    <t xml:space="preserve">GESTIÓN DE TECNOLOGÍAS DE LA INFORMACIÓN Y LAS COMUNICACIONES  </t>
  </si>
  <si>
    <t>GESTIÓN DEL CONOCIMIENTO Y LA INNOVACIÒN</t>
  </si>
  <si>
    <t>GESTIÓN DEL CONTROL DISCIPLINARIO INTERNO</t>
  </si>
  <si>
    <t xml:space="preserve">GESTIÓN DEL RELACIONAMIENTO CON LA CIUDADANÍA 
</t>
  </si>
  <si>
    <t xml:space="preserve">GESTIÓN FINANCIERA  </t>
  </si>
  <si>
    <t>GESTIÒN DE LECTURA, ESCRITURA Y ORALIDAD</t>
  </si>
  <si>
    <t>CONTRATOS</t>
  </si>
  <si>
    <t>DESPACHO</t>
  </si>
  <si>
    <t>DIRECCIÓN  DE LECTURA Y BIBLIOTECAS</t>
  </si>
  <si>
    <t>DIRECCIÓN DE ARTE, CULTURA Y PATRIMONIO</t>
  </si>
  <si>
    <t>DIRECCIÓN DE ECONOMIA ESTUDIOS Y POLÍTICA</t>
  </si>
  <si>
    <t>DIRECCIÓN DE GESTIÓN CORPORATIVA Y RELACIÓN CON EL CIUDADANO</t>
  </si>
  <si>
    <t>DIRECCIÓN DE OBSERVATIORIO Y GESTIÓN DEL CONOCIMIENTO CULTURAL</t>
  </si>
  <si>
    <t>DIRECCIÓN DE REDES A ACCIÓN COLECTIVA</t>
  </si>
  <si>
    <t>DIRECCIÓN DE TRANSFORMACIONES CULTURALES</t>
  </si>
  <si>
    <t>FINANCIERA</t>
  </si>
  <si>
    <t>OFICINA DE CONTROL DISCIPLINARIO INTERNO</t>
  </si>
  <si>
    <t>OFICINA JURÍDICA</t>
  </si>
  <si>
    <t>SERVICIOS ADMINISTRTAIVOS</t>
  </si>
  <si>
    <t>SUBDIRECCIÓN DE GESTIÓN CULTURAL Y ARTISTICA</t>
  </si>
  <si>
    <t>SUBDIRECCIÓN DE INFRAESTRUCTURA Y PATRIMONIO CULTURAL</t>
  </si>
  <si>
    <t>SUBSECRETARÍA DE GOBERNANZA</t>
  </si>
  <si>
    <t xml:space="preserve">SUBSECRETARÍA DISTRITAL DE CULTURA CIUDADANA Y GESTIÓN DEL CONOCIMIENTO </t>
  </si>
  <si>
    <t>TALENTO HUMANO</t>
  </si>
  <si>
    <t>NOMBRE DEL ACTIVO</t>
  </si>
  <si>
    <t>Diligencie el objetivo del proceso o dependencia. Consulte la caracterización del proceso o dependencia en MIPG</t>
  </si>
  <si>
    <t>Diligencie el alcance del proceso o dependencia. Consulte la caracterización del proceso o dependencia en MIPG</t>
  </si>
  <si>
    <r>
      <t xml:space="preserve">Circunstancias bajo las cuales se presenta el riesgo, es la situación más evidente frente al riesgo, redacte de la forma más concreta posible. 
En el manual de gestión de riesgos de seguridad de la información, consulte el numeral </t>
    </r>
    <r>
      <rPr>
        <b/>
        <sz val="9"/>
        <rFont val="Arial Narrow"/>
        <family val="2"/>
      </rPr>
      <t>10.3</t>
    </r>
    <r>
      <rPr>
        <sz val="9"/>
        <rFont val="Arial Narrow"/>
        <family val="2"/>
      </rPr>
      <t xml:space="preserve"> </t>
    </r>
    <r>
      <rPr>
        <b/>
        <sz val="9"/>
        <rFont val="Arial Narrow"/>
        <family val="2"/>
      </rPr>
      <t>Amenazas</t>
    </r>
    <r>
      <rPr>
        <sz val="9"/>
        <rFont val="Arial Narrow"/>
        <family val="2"/>
      </rPr>
      <t>, verifique en la tabla de Amenazas si hay algunas de las amenazas comunes que le aplique, o adáptela de acuerdo a su necesidad, recuerde que la información allí consignada es una guía de referencia.</t>
    </r>
  </si>
  <si>
    <r>
      <t>Causa principal o básica, corresponde a las razones por la cuales se puede presentar el riesgo por la falta de un control, redacte de la forma más concreta posible.
En el manual de gestión de riesgos de seguridad de la información, consulte el numeral</t>
    </r>
    <r>
      <rPr>
        <b/>
        <sz val="9"/>
        <rFont val="Arial Narrow"/>
        <family val="2"/>
      </rPr>
      <t xml:space="preserve"> 10.2 Vulnerabilidades</t>
    </r>
    <r>
      <rPr>
        <sz val="9"/>
        <rFont val="Arial Narrow"/>
        <family val="2"/>
      </rPr>
      <t>, verifique en la tabla de Vulnerabilidades si hay algunas de las vulnerabilidades comunes que le aplique, o adáptela de acuerdo a su necesidad, recuerde que la información allí consignada es una guía de referencia.</t>
    </r>
  </si>
  <si>
    <r>
      <t xml:space="preserve">Seleccione de la Lista desplegable el tipo de riesgo, hay 3 riesgos asociados a seguridad de la información y 4 asociados a bases de datos personales.
En el manual de gestión de riesgos de seguridad de la información, consulte el numeral </t>
    </r>
    <r>
      <rPr>
        <b/>
        <sz val="9"/>
        <rFont val="Arial Narrow"/>
        <family val="2"/>
      </rPr>
      <t>10.1 Riesgos de Seguridad de la Información y Bases de Datos Personales.</t>
    </r>
  </si>
  <si>
    <r>
      <t xml:space="preserve">Defina el # de veces que se ejecuta la actividad durante el año, (Recuerde la probabilidad u ocurrencia del riesgo se define como el No. de veces que se pasa por el punto de riesgo en el periodo de 1 año). La matriz automáticamente hará el cálculo para el nivel de probabilidad inherente (Columnas J-K)
En el manual de gestión de riesgos de seguridad de la información, consulte el numeral </t>
    </r>
    <r>
      <rPr>
        <b/>
        <sz val="9"/>
        <rFont val="Arial Narrow"/>
        <family val="2"/>
      </rPr>
      <t>12.1 Probabilidad</t>
    </r>
    <r>
      <rPr>
        <sz val="9"/>
        <rFont val="Arial Narrow"/>
        <family val="2"/>
      </rPr>
      <t>, en el cual se encuentra la tabla Análisis de Probabilidad, con la descripción de cada uno, de igual forma también se encuentra en el instrumento en la hoja “Tabla Probabilidad”.</t>
    </r>
  </si>
  <si>
    <r>
      <t xml:space="preserve">Utilice la lista desplegable que se encuentra parametrizada, le aparecerán las opciones de la tabla de Impacto en la hoja “Tabla Impacto” del instrumento. La matriz automáticamente hará el cálculo para el nivel de impacto inherente (Columnas N-P).
En el manual de gestión de riesgos de seguridad de la información, consulte el numeral </t>
    </r>
    <r>
      <rPr>
        <b/>
        <sz val="9"/>
        <rFont val="Arial Narrow"/>
        <family val="2"/>
      </rPr>
      <t>12.2 Impacto</t>
    </r>
    <r>
      <rPr>
        <sz val="9"/>
        <rFont val="Arial Narrow"/>
        <family val="2"/>
      </rPr>
      <t>, en el cual se encuentra la tabla Análisis de Impacto.</t>
    </r>
  </si>
  <si>
    <t>Formato Mapa Riesgos SCRD 2023</t>
  </si>
  <si>
    <t xml:space="preserve">Utilice la lista desplegable que se encuentra parametrizada, le aparecerán las opciones: 1) Ejecución y Administración de procesos, 2) Fraude Externo, 3) Fraude Interno, 4) Fallas Tecnológicas, 5) Relaciones Laborales, 6) Usuarios, productos y practicas organizacionales, 7) Daños Activos Físicos, seleccione la opción que corresponda.
</t>
  </si>
  <si>
    <t>Nombre del Activo</t>
  </si>
  <si>
    <t>Consulte la matriz de activos de su proceso o dependencia según corresponda,   y copie en nombre del activo identificado para iniiar con la identificación de sus riesgos.</t>
  </si>
  <si>
    <t>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t>
  </si>
  <si>
    <t>Partiendo de la identificación de necesidades, la estructuración del diseño de las estrategias de TIC hasta la implementación de la arquitectura de TI de acuerdo con los lineamientos de la Política de TI, el seguimiento y evaluación de los resultados del proceso.</t>
  </si>
  <si>
    <t>COPIAS DE SEGURIDAD</t>
  </si>
  <si>
    <t>Denegación de servicios.</t>
  </si>
  <si>
    <t xml:space="preserve">Ausencia de Backup y pruebas de restauración.
Ausencia de líneas base para la instalación de los componentes tecnológicos
Ausencia de documentación actualizada de los Sistemas de Información
</t>
  </si>
  <si>
    <t>Ejecución de copias de seguridad por parte de los profesionales designados de acuerdo a lo establecido en el instructivo.</t>
  </si>
  <si>
    <t>Posibilidad de perdida de integridad de la información por intrucción</t>
  </si>
  <si>
    <t>Ataque informático para modificar datos.</t>
  </si>
  <si>
    <t>Malware.</t>
  </si>
  <si>
    <t>SERVICIOS TECNOLÓGICOS</t>
  </si>
  <si>
    <t>Uso de software desactualizado o que no cumple con los requerimientos de los usuarios
Configuraciones por defecto.
Ausencia de documentación de los puertos que utilizan los Sistemas de Información o Servicios.
Habilitación de servicios de red innecesarios.
Ausencia de pruebas de vulnerabilidad periódicas.</t>
  </si>
  <si>
    <t>Posibilidad de perdida de disponibildad por denegación de servicios</t>
  </si>
  <si>
    <t>Realización de manera semestral de analisis y remedición de vulnerabilidades, por parte del profesional designado.</t>
  </si>
  <si>
    <t>INFRAESTRUCTURA TECNOLÓGICA ONPREMISE</t>
  </si>
  <si>
    <t>Fallas en los componentes de hardware.</t>
  </si>
  <si>
    <t>Ausencia de mantenimientos preventivos.
Mantenimiento insuficiente o inoportuno de los componentes de hardware
Ausencia de pruebas de vulnerabilidad.</t>
  </si>
  <si>
    <t>Posibilidad de pérdida de disponibilidad por fallas en los componentes de hardware</t>
  </si>
  <si>
    <t>INFRAESTRUCTURA TECNOLÓGICA NUBE</t>
  </si>
  <si>
    <t>Pérdida de gobernanza</t>
  </si>
  <si>
    <t>Protección de datos</t>
  </si>
  <si>
    <t>ADMINISTRADORES DE INFRAESTRUCTURA</t>
  </si>
  <si>
    <t>Sobre carga laboral</t>
  </si>
  <si>
    <t>Errores humanos en el cumolimiento de sus labores</t>
  </si>
  <si>
    <t>Calamidad o situación extraordinaria</t>
  </si>
  <si>
    <t>Posubilidad de perdida de disponibilidad en la prestación de las labores tecnológicas por ausencia de personal.</t>
  </si>
  <si>
    <t>APLICATIVOS BASE Y OTROS</t>
  </si>
  <si>
    <t xml:space="preserve">Desactualización
Mal funcionamiento
</t>
  </si>
  <si>
    <t>Ataques informáticos</t>
  </si>
  <si>
    <t>Posibilidad de perdida de integridad de la información por mal funcionamiento de los aplicativos.</t>
  </si>
  <si>
    <t>DIRECTORIO ACTIVO</t>
  </si>
  <si>
    <t>INFRAESTRUCTURA TECNOLOGICA</t>
  </si>
  <si>
    <t xml:space="preserve">Ataque informático </t>
  </si>
  <si>
    <t>Ausencia de mantenimientos preventivos.
Mantenimiento insuficiente o inoportuno de los componentes de hardware
Ausencia de pruebas de vulnerabilidad.
Incumplimiento en acuerdos de servicio
Ineficacia en la gestión de los datos</t>
  </si>
  <si>
    <t>Posibilidad de pérdida de disponibilidad por fallas ténicas y de servicio en la infraestrutura tecnológica de la SCRD</t>
  </si>
  <si>
    <t xml:space="preserve">APLICATIVOS Y SISTEMAS DE INFORMACIÓN </t>
  </si>
  <si>
    <t>Acceso no autorizado</t>
  </si>
  <si>
    <t>Ataque informático</t>
  </si>
  <si>
    <t xml:space="preserve">Falta de gestión de cambios en el código fuente.
Falta de practica seguras
Ausencia de un sistema de versionamiento
</t>
  </si>
  <si>
    <t>Introducción de una vulnerabilidad en el código</t>
  </si>
  <si>
    <t>Posibilidad de perdida de integridad en el codigo fuente de los aplicativos.</t>
  </si>
  <si>
    <t>Revisión semestral del versionamiento de los aplicativos en el sistemas GITLAB por parte del profesional designado.</t>
  </si>
  <si>
    <t>Formular y ejecutar el cronograma de mantenimiento de la infraestructura tecnologica por parte del GITSI de manera anual.</t>
  </si>
  <si>
    <t xml:space="preserve">Incumplimiento en acuerdos de nivel de servicio
</t>
  </si>
  <si>
    <t>Posibilidad de perdida de disponibilidad por incumplimiento a los acuerdos de nivel de servicio</t>
  </si>
  <si>
    <t>Verificación trimestral por parte del profesional designado, de los acuerdos de servicio establecidos con el proveedor.</t>
  </si>
  <si>
    <t xml:space="preserve">Ausencia de personal Idoneo
Desconocimiento de las políticas para el buen uso de los servicios
tecnológicos
Ausencia de documentación actualizada
</t>
  </si>
  <si>
    <t>Documentar y actualizar adecuadamente las actividades de administración de infraestrucura tecnologica y bases de datos por parte del profesional responsable de manera anual.</t>
  </si>
  <si>
    <t>Imposibilidad de acceso a los recursos tecnologicos de la Secretaria</t>
  </si>
  <si>
    <t>Cambios no autorizados en la configuración del directorio activo</t>
  </si>
  <si>
    <t>Posibilidad de perdida de disponibilidad por imposibilidad de acceso a los recursos tecnológicos.</t>
  </si>
  <si>
    <t>Mantener actualizadas las políticas de  la administración de la consola de dominio por parte del profesional responsable de manera trimestral.</t>
  </si>
  <si>
    <t>Realización de restauración de copias de seguridad para validar la integridad de la Información, por parte del profesional designado de manera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</si>
</sst>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0"/>
      <name val="Times New Roman"/>
      <family val="1"/>
    </font>
    <font>
      <sz val="10"/>
      <name val="Times New Roman"/>
      <family val="1"/>
    </font>
    <font>
      <sz val="9"/>
      <color indexed="81"/>
      <name val="Tahoma"/>
      <family val="2"/>
    </font>
    <font>
      <b/>
      <sz val="9"/>
      <color indexed="81"/>
      <name val="Tahoma"/>
      <family val="2"/>
    </font>
    <font>
      <b/>
      <sz val="11"/>
      <name val="Calibri"/>
      <family val="2"/>
      <scheme val="minor"/>
    </font>
    <font>
      <sz val="11"/>
      <color rgb="FF000000"/>
      <name val="Calibri"/>
      <family val="2"/>
      <scheme val="minor"/>
    </font>
    <font>
      <sz val="11"/>
      <color theme="1"/>
      <name val="Calibri"/>
      <family val="2"/>
    </font>
    <font>
      <b/>
      <sz val="16"/>
      <color theme="1"/>
      <name val="Arial Narrow"/>
      <family val="2"/>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patternFill>
    </fill>
    <fill>
      <patternFill patternType="solid">
        <fgColor rgb="FF242BB9"/>
        <bgColor indexed="64"/>
      </patternFill>
    </fill>
    <fill>
      <patternFill patternType="solid">
        <fgColor indexed="65"/>
        <bgColor indexed="64"/>
      </patternFill>
    </fill>
    <fill>
      <patternFill patternType="solid">
        <fgColor theme="0"/>
        <bgColor rgb="FF008080"/>
      </patternFill>
    </fill>
    <fill>
      <patternFill patternType="solid">
        <fgColor theme="0"/>
        <bgColor rgb="FFBFBFBF"/>
      </patternFill>
    </fill>
    <fill>
      <patternFill patternType="solid">
        <fgColor theme="0"/>
        <bgColor rgb="FFA9D18E"/>
      </patternFill>
    </fill>
    <fill>
      <patternFill patternType="solid">
        <fgColor theme="7" tint="0.59999389629810485"/>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5" fillId="0" borderId="0" applyFont="0" applyFill="0" applyBorder="0" applyAlignment="0" applyProtection="0"/>
    <xf numFmtId="0" fontId="48" fillId="0" borderId="0"/>
    <xf numFmtId="0" fontId="49" fillId="0" borderId="0"/>
    <xf numFmtId="0" fontId="5" fillId="0" borderId="0"/>
    <xf numFmtId="0" fontId="14" fillId="16" borderId="0" applyNumberFormat="0" applyBorder="0" applyAlignment="0" applyProtection="0"/>
  </cellStyleXfs>
  <cellXfs count="428">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9" fontId="1" fillId="0" borderId="4" xfId="0" applyNumberFormat="1" applyFont="1" applyFill="1" applyBorder="1" applyAlignment="1" applyProtection="1">
      <alignment horizontal="center" vertical="top"/>
      <protection hidden="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59" fillId="17" borderId="33" xfId="5" applyFont="1" applyFill="1" applyBorder="1" applyAlignment="1">
      <alignment horizontal="center" vertical="center" wrapText="1"/>
    </xf>
    <xf numFmtId="0" fontId="59" fillId="17" borderId="77" xfId="5" applyFont="1" applyFill="1" applyBorder="1" applyAlignment="1">
      <alignment vertical="center" wrapText="1"/>
    </xf>
    <xf numFmtId="0" fontId="60" fillId="3" borderId="33" xfId="0" applyFont="1" applyFill="1" applyBorder="1" applyAlignment="1">
      <alignment horizontal="left" vertical="center" wrapText="1"/>
    </xf>
    <xf numFmtId="0" fontId="0" fillId="0" borderId="0" xfId="0" applyAlignment="1">
      <alignment horizontal="left"/>
    </xf>
    <xf numFmtId="0" fontId="0" fillId="0" borderId="0" xfId="0" applyAlignment="1">
      <alignment horizontal="left" indent="1"/>
    </xf>
    <xf numFmtId="0" fontId="63" fillId="0" borderId="0" xfId="0" applyFont="1"/>
    <xf numFmtId="0" fontId="60" fillId="18" borderId="76" xfId="0" applyFont="1" applyFill="1" applyBorder="1" applyAlignment="1">
      <alignment horizontal="left"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164" fontId="1" fillId="0" borderId="2" xfId="1" applyNumberFormat="1" applyFont="1" applyFill="1" applyBorder="1" applyAlignment="1">
      <alignment horizontal="center" vertical="top"/>
    </xf>
    <xf numFmtId="0" fontId="64" fillId="19" borderId="79" xfId="4" applyFont="1" applyFill="1" applyBorder="1" applyAlignment="1">
      <alignment horizontal="left" vertical="top" wrapText="1"/>
    </xf>
    <xf numFmtId="0" fontId="64" fillId="20" borderId="80" xfId="4" applyFont="1" applyFill="1" applyBorder="1" applyAlignment="1">
      <alignment horizontal="left" vertical="top" wrapText="1"/>
    </xf>
    <xf numFmtId="0" fontId="64" fillId="21" borderId="80" xfId="4" applyFont="1" applyFill="1" applyBorder="1" applyAlignment="1">
      <alignment horizontal="left" vertical="top" wrapText="1"/>
    </xf>
    <xf numFmtId="0" fontId="0" fillId="0" borderId="80" xfId="0" applyFont="1" applyBorder="1" applyAlignment="1">
      <alignment horizontal="left" vertical="top"/>
    </xf>
    <xf numFmtId="0" fontId="64" fillId="3" borderId="80" xfId="4" applyFont="1" applyFill="1" applyBorder="1" applyAlignment="1">
      <alignment horizontal="left" vertical="top" wrapText="1"/>
    </xf>
    <xf numFmtId="0" fontId="64" fillId="0" borderId="80" xfId="4" applyFont="1" applyBorder="1" applyAlignment="1">
      <alignment horizontal="left" vertical="top"/>
    </xf>
    <xf numFmtId="0" fontId="64" fillId="19" borderId="80" xfId="4" applyFont="1" applyFill="1" applyBorder="1" applyAlignment="1">
      <alignment horizontal="left" vertical="top" wrapText="1"/>
    </xf>
    <xf numFmtId="0" fontId="64" fillId="0" borderId="81" xfId="4" applyFont="1" applyBorder="1"/>
    <xf numFmtId="0" fontId="65" fillId="3" borderId="79" xfId="0" applyFont="1" applyFill="1" applyBorder="1" applyAlignment="1">
      <alignment vertical="top" wrapText="1"/>
    </xf>
    <xf numFmtId="0" fontId="65" fillId="3" borderId="80" xfId="0" applyFont="1" applyFill="1" applyBorder="1" applyAlignment="1">
      <alignment vertical="top" wrapText="1"/>
    </xf>
    <xf numFmtId="0" fontId="65" fillId="3" borderId="81" xfId="0" applyFont="1" applyFill="1" applyBorder="1" applyAlignment="1">
      <alignment vertical="top" wrapText="1"/>
    </xf>
    <xf numFmtId="0" fontId="4" fillId="22" borderId="2" xfId="0" applyFont="1" applyFill="1" applyBorder="1" applyAlignment="1">
      <alignment horizontal="center" vertical="center" textRotation="90"/>
    </xf>
    <xf numFmtId="0" fontId="1" fillId="0" borderId="8" xfId="0" applyFont="1" applyBorder="1" applyAlignment="1" applyProtection="1">
      <alignment horizontal="center" vertical="top" wrapText="1"/>
      <protection locked="0"/>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25" fillId="22" borderId="6" xfId="0" applyFont="1" applyFill="1" applyBorder="1" applyAlignment="1">
      <alignment horizontal="left" vertical="center"/>
    </xf>
    <xf numFmtId="0" fontId="25" fillId="22" borderId="10" xfId="0" applyFont="1" applyFill="1" applyBorder="1" applyAlignment="1">
      <alignment horizontal="left" vertical="center"/>
    </xf>
    <xf numFmtId="0" fontId="25" fillId="22" borderId="7" xfId="0" applyFont="1" applyFill="1" applyBorder="1" applyAlignment="1">
      <alignment horizontal="left" vertical="center"/>
    </xf>
    <xf numFmtId="0" fontId="4" fillId="22" borderId="2" xfId="0" applyFont="1" applyFill="1" applyBorder="1" applyAlignment="1">
      <alignment horizontal="center" vertical="center" textRotation="90" wrapText="1"/>
    </xf>
    <xf numFmtId="0" fontId="4" fillId="22" borderId="2"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8" xfId="0" applyFont="1" applyFill="1" applyBorder="1" applyAlignment="1">
      <alignment horizontal="center" vertical="center" wrapText="1"/>
    </xf>
    <xf numFmtId="0" fontId="4" fillId="22" borderId="9" xfId="0" applyFont="1" applyFill="1" applyBorder="1" applyAlignment="1">
      <alignment horizontal="center" vertical="center"/>
    </xf>
    <xf numFmtId="0" fontId="4" fillId="22" borderId="3" xfId="0" applyFont="1" applyFill="1" applyBorder="1" applyAlignment="1">
      <alignment horizontal="center" vertical="center"/>
    </xf>
    <xf numFmtId="0" fontId="4" fillId="22" borderId="9" xfId="0" applyFont="1" applyFill="1" applyBorder="1" applyAlignment="1">
      <alignment horizontal="center" vertical="center" wrapText="1"/>
    </xf>
    <xf numFmtId="0" fontId="4" fillId="22" borderId="4"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3" borderId="0" xfId="0" applyFont="1" applyFill="1" applyBorder="1" applyAlignment="1">
      <alignment horizontal="left" vertical="center"/>
    </xf>
    <xf numFmtId="0" fontId="4" fillId="22" borderId="5" xfId="0" applyFont="1" applyFill="1" applyBorder="1" applyAlignment="1">
      <alignment horizontal="center" vertical="center"/>
    </xf>
    <xf numFmtId="0" fontId="4" fillId="22" borderId="2" xfId="0" applyFont="1" applyFill="1" applyBorder="1" applyAlignment="1">
      <alignment horizontal="center" vertical="center"/>
    </xf>
    <xf numFmtId="0" fontId="26" fillId="22" borderId="28" xfId="0" applyFont="1" applyFill="1" applyBorder="1" applyAlignment="1">
      <alignment horizontal="center" vertical="center"/>
    </xf>
    <xf numFmtId="0" fontId="26" fillId="22" borderId="29" xfId="0" applyFont="1" applyFill="1" applyBorder="1" applyAlignment="1">
      <alignment horizontal="center" vertical="center"/>
    </xf>
    <xf numFmtId="0" fontId="26" fillId="22" borderId="30" xfId="0" applyFont="1" applyFill="1" applyBorder="1" applyAlignment="1">
      <alignment horizontal="center" vertical="center"/>
    </xf>
    <xf numFmtId="0" fontId="26" fillId="22" borderId="3" xfId="0" applyFont="1" applyFill="1" applyBorder="1" applyAlignment="1">
      <alignment horizontal="center" vertical="center"/>
    </xf>
    <xf numFmtId="0" fontId="26" fillId="22" borderId="31" xfId="0" applyFont="1" applyFill="1" applyBorder="1" applyAlignment="1">
      <alignment horizontal="center" vertical="center"/>
    </xf>
    <xf numFmtId="0" fontId="26" fillId="22" borderId="32" xfId="0" applyFont="1" applyFill="1" applyBorder="1" applyAlignment="1">
      <alignment horizontal="center" vertical="center"/>
    </xf>
    <xf numFmtId="0" fontId="25" fillId="22" borderId="6" xfId="0" applyFont="1" applyFill="1" applyBorder="1" applyAlignment="1">
      <alignment horizontal="center" vertical="center"/>
    </xf>
    <xf numFmtId="0" fontId="25" fillId="22" borderId="10" xfId="0" applyFont="1" applyFill="1" applyBorder="1" applyAlignment="1">
      <alignment horizontal="center" vertical="center"/>
    </xf>
    <xf numFmtId="0" fontId="25" fillId="22" borderId="7" xfId="0" applyFont="1" applyFill="1" applyBorder="1" applyAlignment="1">
      <alignment horizontal="center" vertical="center"/>
    </xf>
    <xf numFmtId="0" fontId="66" fillId="22" borderId="6" xfId="0" applyFont="1" applyFill="1" applyBorder="1" applyAlignment="1">
      <alignment horizontal="center" vertical="center"/>
    </xf>
    <xf numFmtId="0" fontId="66" fillId="22" borderId="10" xfId="0" applyFont="1" applyFill="1" applyBorder="1" applyAlignment="1">
      <alignment horizontal="center" vertical="center"/>
    </xf>
    <xf numFmtId="0" fontId="66" fillId="22" borderId="7" xfId="0" applyFont="1" applyFill="1" applyBorder="1" applyAlignment="1">
      <alignment horizontal="center" vertical="center"/>
    </xf>
    <xf numFmtId="0" fontId="27" fillId="22" borderId="4" xfId="0" applyFont="1" applyFill="1" applyBorder="1" applyAlignment="1">
      <alignment horizontal="center" vertical="center" textRotation="90"/>
    </xf>
    <xf numFmtId="0" fontId="27" fillId="22" borderId="5" xfId="0" applyFont="1" applyFill="1" applyBorder="1" applyAlignment="1">
      <alignment horizontal="center" vertical="center" textRotation="90"/>
    </xf>
    <xf numFmtId="0" fontId="4" fillId="22" borderId="4" xfId="0" applyFont="1" applyFill="1" applyBorder="1" applyAlignment="1">
      <alignment horizontal="center" vertical="center" textRotation="90" wrapText="1"/>
    </xf>
    <xf numFmtId="0" fontId="4" fillId="2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59" fillId="17" borderId="77" xfId="5" applyFont="1" applyFill="1" applyBorder="1" applyAlignment="1">
      <alignment horizontal="center" vertical="center" wrapText="1"/>
    </xf>
    <xf numFmtId="0" fontId="59" fillId="17" borderId="78" xfId="5" applyFont="1" applyFill="1" applyBorder="1" applyAlignment="1">
      <alignment horizontal="center" vertical="center" wrapText="1"/>
    </xf>
    <xf numFmtId="0" fontId="60" fillId="3" borderId="75" xfId="0" applyFont="1" applyFill="1" applyBorder="1" applyAlignment="1">
      <alignment horizontal="center" vertical="center" wrapText="1"/>
    </xf>
    <xf numFmtId="0" fontId="60" fillId="3" borderId="76" xfId="0" applyFont="1" applyFill="1" applyBorder="1" applyAlignment="1">
      <alignment horizontal="center" vertical="center" wrapText="1"/>
    </xf>
    <xf numFmtId="0" fontId="60" fillId="3" borderId="34" xfId="0" applyFont="1" applyFill="1" applyBorder="1" applyAlignment="1">
      <alignment horizontal="center" vertical="center" wrapText="1"/>
    </xf>
    <xf numFmtId="0" fontId="6" fillId="3" borderId="2" xfId="0" applyFont="1" applyFill="1" applyBorder="1" applyAlignment="1" applyProtection="1">
      <alignment horizontal="justify" vertical="top" wrapText="1"/>
      <protection locked="0"/>
    </xf>
    <xf numFmtId="0" fontId="1" fillId="3" borderId="2" xfId="0" applyFont="1" applyFill="1" applyBorder="1" applyAlignment="1" applyProtection="1">
      <alignment horizontal="justify" vertical="top"/>
      <protection locked="0"/>
    </xf>
  </cellXfs>
  <cellStyles count="6">
    <cellStyle name="Énfasis6" xfId="5" builtinId="49"/>
    <cellStyle name="Normal" xfId="0" builtinId="0"/>
    <cellStyle name="Normal - Style1 2" xfId="2"/>
    <cellStyle name="Normal 2" xfId="4"/>
    <cellStyle name="Normal 2 2" xfId="3"/>
    <cellStyle name="Porcentaje" xfId="1" builtinId="5"/>
  </cellStyles>
  <dxfs count="238">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2" Type="http://schemas.openxmlformats.org/officeDocument/2006/relationships/worksheet" Target="worksheets/sheet2.xml"/><Relationship Id="rId16" Type="http://schemas.openxmlformats.org/officeDocument/2006/relationships/calcChain" Target="calcChain.xml"/><Relationship Id="rId20"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microsoft.com/office/2017/06/relationships/rdRichValue" Target="richData/rdrichvalu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Ing. Andru" refreshedDate="44719.797894097224" createdVersion="6" refreshedVersion="8"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Ing. Andru" refreshedDate="44719.820464814817" createdVersion="8" refreshedVersion="8" minRefreshableVersion="3" recordCount="7">
  <cacheSource type="worksheet">
    <worksheetSource name="Tabla5"/>
  </cacheSource>
  <cacheFields count="2">
    <cacheField name="Criterios" numFmtId="0">
      <sharedItems count="4">
        <s v="***Riesgos de Seguridad de la Información"/>
        <s v="***Riesgos de Datos Personales"/>
        <s v="Riesgos de Datos Personales" u="1"/>
        <s v="Riesgos de Seguridad de la Información" u="1"/>
      </sharedItems>
    </cacheField>
    <cacheField name="Subcriterios" numFmtId="0">
      <sharedItems count="7">
        <s v="1. Posibilidad de pérdida de Confidencialidad"/>
        <s v="2. Posibilidad de pérdida de Integridad"/>
        <s v="3. Posibilidad de pérdida de Disponibilidad"/>
        <s v="1. Posibilidad de pérdida de confidencialidad, divulgación no autorizada o mal uso de la información de datos personales."/>
        <s v="2. Posibilidad de pérdida de integridad, alteración, o modificación de la Información de datos personales."/>
        <s v="3. Posibilidad de afectación de la disponibilidad de la plataforma tecnológica o aplicativos que gestionan datos personales."/>
        <s v="4. Posibilidad de sanciones por incumplimiento de las directrices o normativas frente al tratamiento de los datos personal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Cache/pivotCacheRecords2.xml><?xml version="1.0" encoding="utf-8"?>
<pivotCacheRecords xmlns="http://schemas.openxmlformats.org/spreadsheetml/2006/main" xmlns:r="http://schemas.openxmlformats.org/officeDocument/2006/relationships" count="7">
  <r>
    <x v="0"/>
    <x v="0"/>
  </r>
  <r>
    <x v="0"/>
    <x v="1"/>
  </r>
  <r>
    <x v="0"/>
    <x v="2"/>
  </r>
  <r>
    <x v="1"/>
    <x v="3"/>
  </r>
  <r>
    <x v="1"/>
    <x v="4"/>
  </r>
  <r>
    <x v="1"/>
    <x v="5"/>
  </r>
  <r>
    <x v="1"/>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6"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D228:D238" firstHeaderRow="1" firstDataRow="1" firstDataCol="1"/>
  <pivotFields count="2">
    <pivotField axis="axisRow" showAll="0">
      <items count="5">
        <item m="1" x="2"/>
        <item m="1" x="3"/>
        <item x="0"/>
        <item x="1"/>
        <item t="default"/>
      </items>
    </pivotField>
    <pivotField axis="axisRow" showAll="0">
      <items count="8">
        <item x="0"/>
        <item x="3"/>
        <item x="1"/>
        <item x="4"/>
        <item x="5"/>
        <item x="2"/>
        <item x="6"/>
        <item t="default"/>
      </items>
    </pivotField>
  </pivotFields>
  <rowFields count="2">
    <field x="0"/>
    <field x="1"/>
  </rowFields>
  <rowItems count="10">
    <i>
      <x v="2"/>
    </i>
    <i r="1">
      <x/>
    </i>
    <i r="1">
      <x v="2"/>
    </i>
    <i r="1">
      <x v="5"/>
    </i>
    <i>
      <x v="3"/>
    </i>
    <i r="1">
      <x v="1"/>
    </i>
    <i r="1">
      <x v="3"/>
    </i>
    <i r="1">
      <x v="4"/>
    </i>
    <i r="1">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fb t="e">#NAME?</fb>
    <v>4</v>
    <v>1</v>
  </rv>
</rvData>
</file>

<file path=xl/richData/rdrichvaluestructure.xml><?xml version="1.0" encoding="utf-8"?>
<rvStructures xmlns="http://schemas.microsoft.com/office/spreadsheetml/2017/richdata" count="1">
  <s t="_error">
    <k n="errorType" t="i"/>
    <k n="subType" t="i"/>
  </s>
</rvStructures>
</file>

<file path=xl/tables/table1.xml><?xml version="1.0" encoding="utf-8"?>
<table xmlns="http://schemas.openxmlformats.org/spreadsheetml/2006/main" id="1" name="Tabla1" displayName="Tabla1" ref="B209:C219" totalsRowShown="0" headerRowDxfId="237" dataDxfId="236">
  <autoFilter ref="B209:C219"/>
  <tableColumns count="2">
    <tableColumn id="1" name="Criterios" dataDxfId="235"/>
    <tableColumn id="2" name="Subcriterios" dataDxfId="234"/>
  </tableColumns>
  <tableStyleInfo name="TableStyleMedium2" showFirstColumn="0" showLastColumn="0" showRowStripes="1" showColumnStripes="0"/>
</table>
</file>

<file path=xl/tables/table2.xml><?xml version="1.0" encoding="utf-8"?>
<table xmlns="http://schemas.openxmlformats.org/spreadsheetml/2006/main" id="5" name="Tabla5" displayName="Tabla5" ref="B228:C235" totalsRowShown="0" dataDxfId="233">
  <autoFilter ref="B228:C235"/>
  <tableColumns count="2">
    <tableColumn id="1" name="Criterios" dataDxfId="232"/>
    <tableColumn id="2" name="Subcriterios" dataDxfId="23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table" Target="../tables/table2.xml"/><Relationship Id="rId4"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topLeftCell="A10" zoomScale="110" zoomScaleNormal="110" workbookViewId="0">
      <selection activeCell="G16" sqref="G16"/>
    </sheetView>
  </sheetViews>
  <sheetFormatPr baseColWidth="10" defaultColWidth="11.5" defaultRowHeight="14.3" x14ac:dyDescent="0.25"/>
  <cols>
    <col min="1" max="1" width="2.875" style="83" customWidth="1"/>
    <col min="2" max="3" width="24.625" style="83" customWidth="1"/>
    <col min="4" max="4" width="16" style="83" customWidth="1"/>
    <col min="5" max="5" width="24.625" style="83" customWidth="1"/>
    <col min="6" max="6" width="27.625" style="83" customWidth="1"/>
    <col min="7" max="8" width="24.625" style="83" customWidth="1"/>
    <col min="9" max="16384" width="11.5" style="83"/>
  </cols>
  <sheetData>
    <row r="1" spans="2:8" ht="14.95" thickBot="1" x14ac:dyDescent="0.3"/>
    <row r="2" spans="2:8" ht="18.350000000000001" x14ac:dyDescent="0.25">
      <c r="B2" s="167" t="s">
        <v>148</v>
      </c>
      <c r="C2" s="168"/>
      <c r="D2" s="168"/>
      <c r="E2" s="168"/>
      <c r="F2" s="168"/>
      <c r="G2" s="168"/>
      <c r="H2" s="169"/>
    </row>
    <row r="3" spans="2:8" ht="14.95" x14ac:dyDescent="0.3">
      <c r="B3" s="84"/>
      <c r="C3" s="85"/>
      <c r="D3" s="85"/>
      <c r="E3" s="85"/>
      <c r="F3" s="85"/>
      <c r="G3" s="85"/>
      <c r="H3" s="86"/>
    </row>
    <row r="4" spans="2:8" ht="63" customHeight="1" x14ac:dyDescent="0.25">
      <c r="B4" s="170" t="s">
        <v>172</v>
      </c>
      <c r="C4" s="171"/>
      <c r="D4" s="171"/>
      <c r="E4" s="171"/>
      <c r="F4" s="171"/>
      <c r="G4" s="171"/>
      <c r="H4" s="172"/>
    </row>
    <row r="5" spans="2:8" ht="63" customHeight="1" x14ac:dyDescent="0.25">
      <c r="B5" s="173"/>
      <c r="C5" s="174"/>
      <c r="D5" s="174"/>
      <c r="E5" s="174"/>
      <c r="F5" s="174"/>
      <c r="G5" s="174"/>
      <c r="H5" s="175"/>
    </row>
    <row r="6" spans="2:8" x14ac:dyDescent="0.25">
      <c r="B6" s="176" t="s">
        <v>146</v>
      </c>
      <c r="C6" s="177"/>
      <c r="D6" s="177"/>
      <c r="E6" s="177"/>
      <c r="F6" s="177"/>
      <c r="G6" s="177"/>
      <c r="H6" s="178"/>
    </row>
    <row r="7" spans="2:8" ht="95.3" customHeight="1" x14ac:dyDescent="0.25">
      <c r="B7" s="186" t="s">
        <v>150</v>
      </c>
      <c r="C7" s="187"/>
      <c r="D7" s="187"/>
      <c r="E7" s="187"/>
      <c r="F7" s="187"/>
      <c r="G7" s="187"/>
      <c r="H7" s="188"/>
    </row>
    <row r="8" spans="2:8" x14ac:dyDescent="0.25">
      <c r="B8" s="121"/>
      <c r="C8" s="122"/>
      <c r="D8" s="122"/>
      <c r="E8" s="122"/>
      <c r="F8" s="122"/>
      <c r="G8" s="122"/>
      <c r="H8" s="123"/>
    </row>
    <row r="9" spans="2:8" ht="16.5" customHeight="1" x14ac:dyDescent="0.25">
      <c r="B9" s="179" t="s">
        <v>165</v>
      </c>
      <c r="C9" s="180"/>
      <c r="D9" s="180"/>
      <c r="E9" s="180"/>
      <c r="F9" s="180"/>
      <c r="G9" s="180"/>
      <c r="H9" s="181"/>
    </row>
    <row r="10" spans="2:8" ht="44.35" customHeight="1" x14ac:dyDescent="0.25">
      <c r="B10" s="179"/>
      <c r="C10" s="180"/>
      <c r="D10" s="180"/>
      <c r="E10" s="180"/>
      <c r="F10" s="180"/>
      <c r="G10" s="180"/>
      <c r="H10" s="181"/>
    </row>
    <row r="11" spans="2:8" ht="15.65" thickBot="1" x14ac:dyDescent="0.35">
      <c r="B11" s="109"/>
      <c r="C11" s="112"/>
      <c r="D11" s="117"/>
      <c r="E11" s="118"/>
      <c r="F11" s="118"/>
      <c r="G11" s="119"/>
      <c r="H11" s="120"/>
    </row>
    <row r="12" spans="2:8" ht="15.65" thickTop="1" x14ac:dyDescent="0.3">
      <c r="B12" s="109"/>
      <c r="C12" s="182" t="s">
        <v>147</v>
      </c>
      <c r="D12" s="183"/>
      <c r="E12" s="184" t="s">
        <v>166</v>
      </c>
      <c r="F12" s="185"/>
      <c r="G12" s="112"/>
      <c r="H12" s="113"/>
    </row>
    <row r="13" spans="2:8" ht="35.35" customHeight="1" x14ac:dyDescent="0.3">
      <c r="B13" s="109"/>
      <c r="C13" s="189" t="s">
        <v>162</v>
      </c>
      <c r="D13" s="190"/>
      <c r="E13" s="191" t="s">
        <v>219</v>
      </c>
      <c r="F13" s="192"/>
      <c r="G13" s="112"/>
      <c r="H13" s="113"/>
    </row>
    <row r="14" spans="2:8" ht="35.35" customHeight="1" x14ac:dyDescent="0.3">
      <c r="B14" s="109"/>
      <c r="C14" s="189" t="s">
        <v>218</v>
      </c>
      <c r="D14" s="190"/>
      <c r="E14" s="191" t="s">
        <v>220</v>
      </c>
      <c r="F14" s="192"/>
      <c r="G14" s="112"/>
      <c r="H14" s="113"/>
    </row>
    <row r="15" spans="2:8" ht="25.85" customHeight="1" x14ac:dyDescent="0.3">
      <c r="B15" s="109"/>
      <c r="C15" s="189" t="s">
        <v>163</v>
      </c>
      <c r="D15" s="190"/>
      <c r="E15" s="191" t="s">
        <v>285</v>
      </c>
      <c r="F15" s="192"/>
      <c r="G15" s="112"/>
      <c r="H15" s="113"/>
    </row>
    <row r="16" spans="2:8" ht="25.15" customHeight="1" x14ac:dyDescent="0.3">
      <c r="B16" s="109"/>
      <c r="C16" s="189" t="s">
        <v>164</v>
      </c>
      <c r="D16" s="190"/>
      <c r="E16" s="191" t="s">
        <v>286</v>
      </c>
      <c r="F16" s="192"/>
      <c r="G16" s="112"/>
      <c r="H16" s="113"/>
    </row>
    <row r="17" spans="2:8" ht="21.1" customHeight="1" x14ac:dyDescent="0.3">
      <c r="B17" s="109"/>
      <c r="C17" s="189" t="s">
        <v>149</v>
      </c>
      <c r="D17" s="190"/>
      <c r="E17" s="191" t="s">
        <v>221</v>
      </c>
      <c r="F17" s="192"/>
      <c r="G17" s="112"/>
      <c r="H17" s="113"/>
    </row>
    <row r="18" spans="2:8" ht="83.4" customHeight="1" x14ac:dyDescent="0.3">
      <c r="B18" s="109"/>
      <c r="C18" s="193" t="s">
        <v>183</v>
      </c>
      <c r="D18" s="194"/>
      <c r="E18" s="165" t="s">
        <v>222</v>
      </c>
      <c r="F18" s="166"/>
      <c r="G18" s="112"/>
      <c r="H18" s="113"/>
    </row>
    <row r="19" spans="2:8" ht="83.4" customHeight="1" x14ac:dyDescent="0.3">
      <c r="B19" s="109"/>
      <c r="C19" s="149" t="s">
        <v>294</v>
      </c>
      <c r="D19" s="150"/>
      <c r="E19" s="165" t="s">
        <v>295</v>
      </c>
      <c r="F19" s="166"/>
      <c r="G19" s="112"/>
      <c r="H19" s="113"/>
    </row>
    <row r="20" spans="2:8" ht="34.5" customHeight="1" x14ac:dyDescent="0.3">
      <c r="B20" s="109"/>
      <c r="C20" s="193" t="s">
        <v>2</v>
      </c>
      <c r="D20" s="194"/>
      <c r="E20" s="165" t="s">
        <v>223</v>
      </c>
      <c r="F20" s="166"/>
      <c r="G20" s="112"/>
      <c r="H20" s="113"/>
    </row>
    <row r="21" spans="2:8" ht="86.95" customHeight="1" x14ac:dyDescent="0.3">
      <c r="B21" s="109"/>
      <c r="C21" s="195" t="s">
        <v>180</v>
      </c>
      <c r="D21" s="196"/>
      <c r="E21" s="165" t="s">
        <v>287</v>
      </c>
      <c r="F21" s="166"/>
      <c r="G21" s="112"/>
      <c r="H21" s="113"/>
    </row>
    <row r="22" spans="2:8" ht="103.25" customHeight="1" x14ac:dyDescent="0.3">
      <c r="B22" s="109"/>
      <c r="C22" s="195" t="s">
        <v>181</v>
      </c>
      <c r="D22" s="196"/>
      <c r="E22" s="165" t="s">
        <v>288</v>
      </c>
      <c r="F22" s="166"/>
      <c r="G22" s="112"/>
      <c r="H22" s="113"/>
    </row>
    <row r="23" spans="2:8" ht="72.7" customHeight="1" x14ac:dyDescent="0.3">
      <c r="B23" s="109"/>
      <c r="C23" s="195" t="s">
        <v>191</v>
      </c>
      <c r="D23" s="196"/>
      <c r="E23" s="165" t="s">
        <v>289</v>
      </c>
      <c r="F23" s="166"/>
      <c r="G23" s="112"/>
      <c r="H23" s="113"/>
    </row>
    <row r="24" spans="2:8" ht="72.7" customHeight="1" x14ac:dyDescent="0.3">
      <c r="B24" s="109"/>
      <c r="C24" s="195" t="s">
        <v>1</v>
      </c>
      <c r="D24" s="196"/>
      <c r="E24" s="165" t="s">
        <v>224</v>
      </c>
      <c r="F24" s="166"/>
      <c r="G24" s="112"/>
      <c r="H24" s="113"/>
    </row>
    <row r="25" spans="2:8" ht="85.6" customHeight="1" x14ac:dyDescent="0.3">
      <c r="B25" s="109"/>
      <c r="C25" s="195" t="s">
        <v>48</v>
      </c>
      <c r="D25" s="196"/>
      <c r="E25" s="165" t="s">
        <v>293</v>
      </c>
      <c r="F25" s="166"/>
      <c r="G25" s="112"/>
      <c r="H25" s="113"/>
    </row>
    <row r="26" spans="2:8" ht="106.15" customHeight="1" x14ac:dyDescent="0.3">
      <c r="B26" s="109"/>
      <c r="C26" s="195" t="s">
        <v>151</v>
      </c>
      <c r="D26" s="196"/>
      <c r="E26" s="165" t="s">
        <v>290</v>
      </c>
      <c r="F26" s="166"/>
      <c r="G26" s="112"/>
      <c r="H26" s="113"/>
    </row>
    <row r="27" spans="2:8" ht="86.95" customHeight="1" x14ac:dyDescent="0.3">
      <c r="B27" s="109"/>
      <c r="C27" s="193" t="s">
        <v>152</v>
      </c>
      <c r="D27" s="194"/>
      <c r="E27" s="165" t="s">
        <v>291</v>
      </c>
      <c r="F27" s="166"/>
      <c r="G27" s="112"/>
      <c r="H27" s="113"/>
    </row>
    <row r="28" spans="2:8" ht="41.95" customHeight="1" x14ac:dyDescent="0.3">
      <c r="B28" s="109"/>
      <c r="C28" s="193" t="s">
        <v>46</v>
      </c>
      <c r="D28" s="194"/>
      <c r="E28" s="165" t="s">
        <v>153</v>
      </c>
      <c r="F28" s="166"/>
      <c r="G28" s="112"/>
      <c r="H28" s="113"/>
    </row>
    <row r="29" spans="2:8" ht="30.6" customHeight="1" x14ac:dyDescent="0.3">
      <c r="B29" s="109"/>
      <c r="C29" s="193" t="s">
        <v>10</v>
      </c>
      <c r="D29" s="194"/>
      <c r="E29" s="165" t="s">
        <v>225</v>
      </c>
      <c r="F29" s="166"/>
      <c r="G29" s="112"/>
      <c r="H29" s="113"/>
    </row>
    <row r="30" spans="2:8" ht="59.3" customHeight="1" x14ac:dyDescent="0.3">
      <c r="B30" s="109"/>
      <c r="C30" s="193" t="s">
        <v>145</v>
      </c>
      <c r="D30" s="194"/>
      <c r="E30" s="165" t="s">
        <v>154</v>
      </c>
      <c r="F30" s="166"/>
      <c r="G30" s="112"/>
      <c r="H30" s="113"/>
    </row>
    <row r="31" spans="2:8" ht="27.7" customHeight="1" x14ac:dyDescent="0.3">
      <c r="B31" s="109"/>
      <c r="C31" s="193" t="s">
        <v>11</v>
      </c>
      <c r="D31" s="194"/>
      <c r="E31" s="165" t="s">
        <v>226</v>
      </c>
      <c r="F31" s="166"/>
      <c r="G31" s="112"/>
      <c r="H31" s="113"/>
    </row>
    <row r="32" spans="2:8" ht="41.45" customHeight="1" x14ac:dyDescent="0.3">
      <c r="B32" s="109"/>
      <c r="C32" s="193" t="s">
        <v>155</v>
      </c>
      <c r="D32" s="194"/>
      <c r="E32" s="165" t="s">
        <v>227</v>
      </c>
      <c r="F32" s="166"/>
      <c r="G32" s="112"/>
      <c r="H32" s="113"/>
    </row>
    <row r="33" spans="2:8" ht="35.35" customHeight="1" x14ac:dyDescent="0.3">
      <c r="B33" s="109"/>
      <c r="C33" s="193" t="s">
        <v>156</v>
      </c>
      <c r="D33" s="194"/>
      <c r="E33" s="165" t="s">
        <v>228</v>
      </c>
      <c r="F33" s="166"/>
      <c r="G33" s="112"/>
      <c r="H33" s="113"/>
    </row>
    <row r="34" spans="2:8" ht="30.1" customHeight="1" x14ac:dyDescent="0.3">
      <c r="B34" s="109"/>
      <c r="C34" s="193" t="s">
        <v>157</v>
      </c>
      <c r="D34" s="194"/>
      <c r="E34" s="165" t="s">
        <v>229</v>
      </c>
      <c r="F34" s="166"/>
      <c r="G34" s="112"/>
      <c r="H34" s="113"/>
    </row>
    <row r="35" spans="2:8" ht="35.35" customHeight="1" x14ac:dyDescent="0.3">
      <c r="B35" s="109"/>
      <c r="C35" s="193" t="s">
        <v>158</v>
      </c>
      <c r="D35" s="194"/>
      <c r="E35" s="165" t="s">
        <v>230</v>
      </c>
      <c r="F35" s="166"/>
      <c r="G35" s="112"/>
      <c r="H35" s="113"/>
    </row>
    <row r="36" spans="2:8" ht="31.6" customHeight="1" x14ac:dyDescent="0.3">
      <c r="B36" s="109"/>
      <c r="C36" s="193" t="s">
        <v>159</v>
      </c>
      <c r="D36" s="194"/>
      <c r="E36" s="165" t="s">
        <v>231</v>
      </c>
      <c r="F36" s="166"/>
      <c r="G36" s="112"/>
      <c r="H36" s="113"/>
    </row>
    <row r="37" spans="2:8" ht="35.35" customHeight="1" x14ac:dyDescent="0.3">
      <c r="B37" s="109"/>
      <c r="C37" s="193" t="s">
        <v>160</v>
      </c>
      <c r="D37" s="194"/>
      <c r="E37" s="165" t="s">
        <v>232</v>
      </c>
      <c r="F37" s="166"/>
      <c r="G37" s="112"/>
      <c r="H37" s="113"/>
    </row>
    <row r="38" spans="2:8" ht="101.4" customHeight="1" x14ac:dyDescent="0.3">
      <c r="B38" s="109"/>
      <c r="C38" s="193" t="s">
        <v>233</v>
      </c>
      <c r="D38" s="194"/>
      <c r="E38" s="165" t="s">
        <v>234</v>
      </c>
      <c r="F38" s="166"/>
      <c r="G38" s="112"/>
      <c r="H38" s="113"/>
    </row>
    <row r="39" spans="2:8" ht="29.25" customHeight="1" x14ac:dyDescent="0.3">
      <c r="B39" s="109"/>
      <c r="C39" s="193" t="s">
        <v>28</v>
      </c>
      <c r="D39" s="194"/>
      <c r="E39" s="165" t="s">
        <v>235</v>
      </c>
      <c r="F39" s="166"/>
      <c r="G39" s="112"/>
      <c r="H39" s="113"/>
    </row>
    <row r="40" spans="2:8" ht="82.55" customHeight="1" x14ac:dyDescent="0.3">
      <c r="B40" s="109"/>
      <c r="C40" s="193" t="s">
        <v>161</v>
      </c>
      <c r="D40" s="194"/>
      <c r="E40" s="165" t="s">
        <v>236</v>
      </c>
      <c r="F40" s="166"/>
      <c r="G40" s="112"/>
      <c r="H40" s="113"/>
    </row>
    <row r="41" spans="2:8" ht="46.55" customHeight="1" x14ac:dyDescent="0.3">
      <c r="B41" s="109"/>
      <c r="C41" s="193" t="s">
        <v>38</v>
      </c>
      <c r="D41" s="194"/>
      <c r="E41" s="165" t="s">
        <v>237</v>
      </c>
      <c r="F41" s="166"/>
      <c r="G41" s="112"/>
      <c r="H41" s="113"/>
    </row>
    <row r="42" spans="2:8" ht="6.8" customHeight="1" thickBot="1" x14ac:dyDescent="0.35">
      <c r="B42" s="109"/>
      <c r="C42" s="200"/>
      <c r="D42" s="201"/>
      <c r="E42" s="202"/>
      <c r="F42" s="203"/>
      <c r="G42" s="112"/>
      <c r="H42" s="113"/>
    </row>
    <row r="43" spans="2:8" ht="15.65" thickTop="1" x14ac:dyDescent="0.3">
      <c r="B43" s="109"/>
      <c r="C43" s="110"/>
      <c r="D43" s="110"/>
      <c r="E43" s="111"/>
      <c r="F43" s="111"/>
      <c r="G43" s="112"/>
      <c r="H43" s="113"/>
    </row>
    <row r="44" spans="2:8" ht="21.1" customHeight="1" x14ac:dyDescent="0.25">
      <c r="B44" s="197" t="s">
        <v>167</v>
      </c>
      <c r="C44" s="198"/>
      <c r="D44" s="198"/>
      <c r="E44" s="198"/>
      <c r="F44" s="198"/>
      <c r="G44" s="198"/>
      <c r="H44" s="199"/>
    </row>
    <row r="45" spans="2:8" ht="20.25" customHeight="1" x14ac:dyDescent="0.25">
      <c r="B45" s="197" t="s">
        <v>168</v>
      </c>
      <c r="C45" s="198"/>
      <c r="D45" s="198"/>
      <c r="E45" s="198"/>
      <c r="F45" s="198"/>
      <c r="G45" s="198"/>
      <c r="H45" s="199"/>
    </row>
    <row r="46" spans="2:8" ht="20.25" customHeight="1" x14ac:dyDescent="0.25">
      <c r="B46" s="197" t="s">
        <v>169</v>
      </c>
      <c r="C46" s="198"/>
      <c r="D46" s="198"/>
      <c r="E46" s="198"/>
      <c r="F46" s="198"/>
      <c r="G46" s="198"/>
      <c r="H46" s="199"/>
    </row>
    <row r="47" spans="2:8" ht="20.25" customHeight="1" x14ac:dyDescent="0.25">
      <c r="B47" s="197" t="s">
        <v>170</v>
      </c>
      <c r="C47" s="198"/>
      <c r="D47" s="198"/>
      <c r="E47" s="198"/>
      <c r="F47" s="198"/>
      <c r="G47" s="198"/>
      <c r="H47" s="199"/>
    </row>
    <row r="48" spans="2:8" ht="14.95" x14ac:dyDescent="0.25">
      <c r="B48" s="197" t="s">
        <v>171</v>
      </c>
      <c r="C48" s="198"/>
      <c r="D48" s="198"/>
      <c r="E48" s="198"/>
      <c r="F48" s="198"/>
      <c r="G48" s="198"/>
      <c r="H48" s="199"/>
    </row>
    <row r="49" spans="2:8" ht="15.65" thickBot="1" x14ac:dyDescent="0.35">
      <c r="B49" s="114"/>
      <c r="C49" s="115"/>
      <c r="D49" s="115"/>
      <c r="E49" s="115"/>
      <c r="F49" s="115"/>
      <c r="G49" s="115"/>
      <c r="H49" s="116"/>
    </row>
  </sheetData>
  <mergeCells count="71">
    <mergeCell ref="E33:F33"/>
    <mergeCell ref="C33:D33"/>
    <mergeCell ref="C17:D17"/>
    <mergeCell ref="E17:F17"/>
    <mergeCell ref="C15:D15"/>
    <mergeCell ref="E15:F15"/>
    <mergeCell ref="C16:D16"/>
    <mergeCell ref="E16:F16"/>
    <mergeCell ref="E26:F26"/>
    <mergeCell ref="C26:D26"/>
    <mergeCell ref="C30:D30"/>
    <mergeCell ref="E30:F30"/>
    <mergeCell ref="C29:D29"/>
    <mergeCell ref="E29:F29"/>
    <mergeCell ref="C25:D25"/>
    <mergeCell ref="C21:D21"/>
    <mergeCell ref="B45:H45"/>
    <mergeCell ref="C42:D42"/>
    <mergeCell ref="E42:F42"/>
    <mergeCell ref="C41:D41"/>
    <mergeCell ref="E41:F41"/>
    <mergeCell ref="C37:D37"/>
    <mergeCell ref="B44:H44"/>
    <mergeCell ref="C34:D34"/>
    <mergeCell ref="E34:F34"/>
    <mergeCell ref="E37:F37"/>
    <mergeCell ref="C38:D38"/>
    <mergeCell ref="C39:D39"/>
    <mergeCell ref="E39:F39"/>
    <mergeCell ref="C40:D40"/>
    <mergeCell ref="E40:F40"/>
    <mergeCell ref="B46:H46"/>
    <mergeCell ref="B47:H47"/>
    <mergeCell ref="B48:H48"/>
    <mergeCell ref="E27:F27"/>
    <mergeCell ref="C27:D27"/>
    <mergeCell ref="C28:D28"/>
    <mergeCell ref="E28:F28"/>
    <mergeCell ref="C31:D31"/>
    <mergeCell ref="E31:F31"/>
    <mergeCell ref="E38:F38"/>
    <mergeCell ref="C36:D36"/>
    <mergeCell ref="C35:D35"/>
    <mergeCell ref="E35:F35"/>
    <mergeCell ref="E36:F36"/>
    <mergeCell ref="C32:D32"/>
    <mergeCell ref="E32:F32"/>
    <mergeCell ref="E14:F14"/>
    <mergeCell ref="C22:D22"/>
    <mergeCell ref="C24:D24"/>
    <mergeCell ref="E21:F21"/>
    <mergeCell ref="E22:F22"/>
    <mergeCell ref="E24:F24"/>
    <mergeCell ref="C20:D20"/>
    <mergeCell ref="E20:F20"/>
    <mergeCell ref="E25:F25"/>
    <mergeCell ref="B2:H2"/>
    <mergeCell ref="B4:H5"/>
    <mergeCell ref="B6:H6"/>
    <mergeCell ref="B9:H10"/>
    <mergeCell ref="C12:D12"/>
    <mergeCell ref="E12:F12"/>
    <mergeCell ref="B7:H7"/>
    <mergeCell ref="C13:D13"/>
    <mergeCell ref="E13:F13"/>
    <mergeCell ref="C18:D18"/>
    <mergeCell ref="E18:F18"/>
    <mergeCell ref="C23:D23"/>
    <mergeCell ref="E23:F23"/>
    <mergeCell ref="E19:F19"/>
    <mergeCell ref="C14:D1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5" defaultRowHeight="13.6" x14ac:dyDescent="0.25"/>
  <cols>
    <col min="1" max="1" width="32.875" style="8" customWidth="1"/>
    <col min="2" max="16384" width="11.5" style="8"/>
  </cols>
  <sheetData>
    <row r="3" spans="1:1" ht="14.95" x14ac:dyDescent="0.25">
      <c r="A3" s="9" t="s">
        <v>13</v>
      </c>
    </row>
    <row r="4" spans="1:1" ht="14.95" x14ac:dyDescent="0.25">
      <c r="A4" s="9" t="s">
        <v>14</v>
      </c>
    </row>
    <row r="5" spans="1:1" ht="14.95" x14ac:dyDescent="0.25">
      <c r="A5" s="9" t="s">
        <v>15</v>
      </c>
    </row>
    <row r="6" spans="1:1" ht="14.95" x14ac:dyDescent="0.25">
      <c r="A6" s="9" t="s">
        <v>9</v>
      </c>
    </row>
    <row r="7" spans="1:1" ht="14.95" x14ac:dyDescent="0.25">
      <c r="A7" s="9" t="s">
        <v>8</v>
      </c>
    </row>
    <row r="8" spans="1:1" ht="14.95" x14ac:dyDescent="0.25">
      <c r="A8" s="9" t="s">
        <v>18</v>
      </c>
    </row>
    <row r="9" spans="1:1" ht="14.95" x14ac:dyDescent="0.25">
      <c r="A9" s="9" t="s">
        <v>19</v>
      </c>
    </row>
    <row r="10" spans="1:1" ht="14.95" x14ac:dyDescent="0.25">
      <c r="A10" s="9" t="s">
        <v>21</v>
      </c>
    </row>
    <row r="11" spans="1:1" ht="14.95" x14ac:dyDescent="0.25">
      <c r="A11" s="9" t="s">
        <v>22</v>
      </c>
    </row>
    <row r="12" spans="1:1" ht="14.95" x14ac:dyDescent="0.25">
      <c r="A12" s="9" t="s">
        <v>24</v>
      </c>
    </row>
    <row r="13" spans="1:1" ht="14.95" x14ac:dyDescent="0.25">
      <c r="A13" s="9" t="s">
        <v>25</v>
      </c>
    </row>
    <row r="14" spans="1:1" ht="14.95" x14ac:dyDescent="0.25">
      <c r="A14" s="9" t="s">
        <v>26</v>
      </c>
    </row>
    <row r="16" spans="1:1" ht="14.95" x14ac:dyDescent="0.25">
      <c r="A16" s="9" t="s">
        <v>29</v>
      </c>
    </row>
    <row r="17" spans="1:1" ht="14.95" x14ac:dyDescent="0.25">
      <c r="A17" s="9" t="s">
        <v>30</v>
      </c>
    </row>
    <row r="18" spans="1:1" ht="14.95" x14ac:dyDescent="0.25">
      <c r="A18" s="9" t="s">
        <v>31</v>
      </c>
    </row>
    <row r="20" spans="1:1" ht="14.95" x14ac:dyDescent="0.25">
      <c r="A20" s="9" t="s">
        <v>39</v>
      </c>
    </row>
    <row r="21" spans="1:1" ht="14.95" x14ac:dyDescent="0.25">
      <c r="A21" s="9" t="s">
        <v>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S73"/>
  <sheetViews>
    <sheetView tabSelected="1" topLeftCell="A9" zoomScale="90" zoomScaleNormal="90" workbookViewId="0">
      <selection activeCell="B11" sqref="B11:B16"/>
    </sheetView>
  </sheetViews>
  <sheetFormatPr baseColWidth="10" defaultColWidth="11.5" defaultRowHeight="14.3" x14ac:dyDescent="0.25"/>
  <cols>
    <col min="1" max="1" width="4" style="2" bestFit="1" customWidth="1"/>
    <col min="2" max="3" width="27.375" style="2" customWidth="1"/>
    <col min="4" max="5" width="36.125" style="2" customWidth="1"/>
    <col min="6" max="6" width="32.5" style="1" customWidth="1"/>
    <col min="7" max="8" width="36.125" style="2" customWidth="1"/>
    <col min="9" max="9" width="19" style="5" customWidth="1"/>
    <col min="10" max="10" width="17.875" style="1" customWidth="1"/>
    <col min="11" max="11" width="16.5" style="1" customWidth="1"/>
    <col min="12" max="12" width="6.375" style="1" bestFit="1" customWidth="1"/>
    <col min="13" max="13" width="27.375" style="1" bestFit="1" customWidth="1"/>
    <col min="14" max="14" width="30.5" style="1" hidden="1" customWidth="1"/>
    <col min="15" max="15" width="17.5" style="1" customWidth="1"/>
    <col min="16" max="16" width="6.375" style="1" bestFit="1" customWidth="1"/>
    <col min="17" max="17" width="16" style="1" customWidth="1"/>
    <col min="18" max="18" width="5.875" style="1" customWidth="1"/>
    <col min="19" max="19" width="31" style="1" customWidth="1"/>
    <col min="20" max="20" width="15.125" style="1" bestFit="1" customWidth="1"/>
    <col min="21" max="21" width="6.875" style="1" customWidth="1"/>
    <col min="22" max="22" width="5" style="1" customWidth="1"/>
    <col min="23" max="23" width="5.5" style="1" customWidth="1"/>
    <col min="24" max="24" width="7.125" style="1" customWidth="1"/>
    <col min="25" max="25" width="6.625" style="1" customWidth="1"/>
    <col min="26" max="26" width="7.5" style="1" customWidth="1"/>
    <col min="27" max="27" width="38.375" style="1" customWidth="1"/>
    <col min="28" max="28" width="8.625" style="1" customWidth="1"/>
    <col min="29" max="29" width="10.5" style="1" customWidth="1"/>
    <col min="30" max="30" width="9.375" style="1" customWidth="1"/>
    <col min="31" max="31" width="9.125" style="1" customWidth="1"/>
    <col min="32" max="32" width="8.5" style="1" customWidth="1"/>
    <col min="33" max="33" width="7.375" style="1" customWidth="1"/>
    <col min="34" max="34" width="23" style="1" customWidth="1"/>
    <col min="35" max="35" width="18.875" style="1" customWidth="1"/>
    <col min="36" max="36" width="16.875" style="1" customWidth="1"/>
    <col min="37" max="37" width="14.875" style="1" customWidth="1"/>
    <col min="38" max="38" width="18.5" style="1" customWidth="1"/>
    <col min="39" max="39" width="21" style="1" customWidth="1"/>
    <col min="40" max="16384" width="11.5" style="1"/>
  </cols>
  <sheetData>
    <row r="1" spans="1:71" ht="16.5" customHeight="1" x14ac:dyDescent="0.25">
      <c r="A1" s="250" t="s">
        <v>292</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2"/>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23.95" customHeight="1" x14ac:dyDescent="0.25">
      <c r="A2" s="253"/>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5"/>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x14ac:dyDescent="0.25">
      <c r="A3" s="27"/>
      <c r="B3" s="28"/>
      <c r="C3" s="28"/>
      <c r="D3" s="27"/>
      <c r="E3" s="27"/>
      <c r="F3" s="7"/>
      <c r="G3" s="27"/>
      <c r="H3" s="27"/>
      <c r="I3" s="26"/>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26.35" customHeight="1" x14ac:dyDescent="0.25">
      <c r="A4" s="234" t="s">
        <v>41</v>
      </c>
      <c r="B4" s="235"/>
      <c r="C4" s="236"/>
      <c r="D4" s="204" t="s">
        <v>260</v>
      </c>
      <c r="E4" s="205"/>
      <c r="F4" s="205"/>
      <c r="G4" s="205"/>
      <c r="H4" s="205"/>
      <c r="I4" s="205"/>
      <c r="J4" s="205"/>
      <c r="K4" s="205"/>
      <c r="L4" s="205"/>
      <c r="M4" s="205"/>
      <c r="N4" s="205"/>
      <c r="O4" s="205"/>
      <c r="P4" s="205"/>
      <c r="Q4" s="206"/>
      <c r="R4" s="247"/>
      <c r="S4" s="247"/>
      <c r="T4" s="24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26.35" customHeight="1" x14ac:dyDescent="0.25">
      <c r="A5" s="234" t="s">
        <v>173</v>
      </c>
      <c r="B5" s="235"/>
      <c r="C5" s="236"/>
      <c r="D5" s="231" t="s">
        <v>241</v>
      </c>
      <c r="E5" s="232"/>
      <c r="F5" s="232"/>
      <c r="G5" s="232"/>
      <c r="H5" s="232"/>
      <c r="I5" s="232"/>
      <c r="J5" s="232"/>
      <c r="K5" s="232"/>
      <c r="L5" s="232"/>
      <c r="M5" s="232"/>
      <c r="N5" s="232"/>
      <c r="O5" s="232"/>
      <c r="P5" s="232"/>
      <c r="Q5" s="233"/>
      <c r="R5" s="247"/>
      <c r="S5" s="247"/>
      <c r="T5" s="24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30.1" customHeight="1" x14ac:dyDescent="0.25">
      <c r="A6" s="234" t="s">
        <v>115</v>
      </c>
      <c r="B6" s="235"/>
      <c r="C6" s="236"/>
      <c r="D6" s="231" t="s">
        <v>296</v>
      </c>
      <c r="E6" s="232"/>
      <c r="F6" s="232"/>
      <c r="G6" s="232"/>
      <c r="H6" s="232"/>
      <c r="I6" s="232"/>
      <c r="J6" s="232"/>
      <c r="K6" s="232"/>
      <c r="L6" s="232"/>
      <c r="M6" s="232"/>
      <c r="N6" s="232"/>
      <c r="O6" s="232"/>
      <c r="P6" s="232"/>
      <c r="Q6" s="233"/>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row>
    <row r="7" spans="1:71" ht="49.6" customHeight="1" x14ac:dyDescent="0.25">
      <c r="A7" s="234" t="s">
        <v>42</v>
      </c>
      <c r="B7" s="235"/>
      <c r="C7" s="236"/>
      <c r="D7" s="266" t="s">
        <v>297</v>
      </c>
      <c r="E7" s="267"/>
      <c r="F7" s="267"/>
      <c r="G7" s="267"/>
      <c r="H7" s="267"/>
      <c r="I7" s="267"/>
      <c r="J7" s="267"/>
      <c r="K7" s="267"/>
      <c r="L7" s="267"/>
      <c r="M7" s="267"/>
      <c r="N7" s="267"/>
      <c r="O7" s="267"/>
      <c r="P7" s="267"/>
      <c r="Q7" s="268"/>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row>
    <row r="8" spans="1:71" ht="41.45" customHeight="1" x14ac:dyDescent="0.25">
      <c r="A8" s="256" t="s">
        <v>123</v>
      </c>
      <c r="B8" s="257"/>
      <c r="C8" s="257"/>
      <c r="D8" s="257"/>
      <c r="E8" s="257"/>
      <c r="F8" s="257"/>
      <c r="G8" s="257"/>
      <c r="H8" s="257"/>
      <c r="I8" s="257"/>
      <c r="J8" s="258"/>
      <c r="K8" s="259" t="s">
        <v>124</v>
      </c>
      <c r="L8" s="260"/>
      <c r="M8" s="260"/>
      <c r="N8" s="260"/>
      <c r="O8" s="260"/>
      <c r="P8" s="260"/>
      <c r="Q8" s="261"/>
      <c r="R8" s="259" t="s">
        <v>125</v>
      </c>
      <c r="S8" s="260"/>
      <c r="T8" s="260"/>
      <c r="U8" s="260"/>
      <c r="V8" s="260"/>
      <c r="W8" s="260"/>
      <c r="X8" s="260"/>
      <c r="Y8" s="260"/>
      <c r="Z8" s="261"/>
      <c r="AA8" s="259" t="s">
        <v>126</v>
      </c>
      <c r="AB8" s="260"/>
      <c r="AC8" s="260"/>
      <c r="AD8" s="260"/>
      <c r="AE8" s="260"/>
      <c r="AF8" s="260"/>
      <c r="AG8" s="261"/>
      <c r="AH8" s="259" t="s">
        <v>33</v>
      </c>
      <c r="AI8" s="260"/>
      <c r="AJ8" s="260"/>
      <c r="AK8" s="260"/>
      <c r="AL8" s="260"/>
      <c r="AM8" s="261"/>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row>
    <row r="9" spans="1:71" ht="16.5" customHeight="1" x14ac:dyDescent="0.25">
      <c r="A9" s="262" t="s">
        <v>0</v>
      </c>
      <c r="B9" s="239" t="s">
        <v>182</v>
      </c>
      <c r="C9" s="244" t="s">
        <v>284</v>
      </c>
      <c r="D9" s="249" t="s">
        <v>2</v>
      </c>
      <c r="E9" s="244" t="s">
        <v>180</v>
      </c>
      <c r="F9" s="239" t="s">
        <v>181</v>
      </c>
      <c r="G9" s="248" t="s">
        <v>191</v>
      </c>
      <c r="H9" s="248" t="s">
        <v>1</v>
      </c>
      <c r="I9" s="244" t="s">
        <v>48</v>
      </c>
      <c r="J9" s="239" t="s">
        <v>119</v>
      </c>
      <c r="K9" s="240" t="s">
        <v>32</v>
      </c>
      <c r="L9" s="241" t="s">
        <v>4</v>
      </c>
      <c r="M9" s="244" t="s">
        <v>84</v>
      </c>
      <c r="N9" s="244" t="s">
        <v>89</v>
      </c>
      <c r="O9" s="243" t="s">
        <v>43</v>
      </c>
      <c r="P9" s="241" t="s">
        <v>4</v>
      </c>
      <c r="Q9" s="239" t="s">
        <v>46</v>
      </c>
      <c r="R9" s="264" t="s">
        <v>10</v>
      </c>
      <c r="S9" s="238" t="s">
        <v>145</v>
      </c>
      <c r="T9" s="244" t="s">
        <v>11</v>
      </c>
      <c r="U9" s="238" t="s">
        <v>7</v>
      </c>
      <c r="V9" s="238"/>
      <c r="W9" s="238"/>
      <c r="X9" s="238"/>
      <c r="Y9" s="238"/>
      <c r="Z9" s="238"/>
      <c r="AA9" s="237" t="s">
        <v>122</v>
      </c>
      <c r="AB9" s="237" t="s">
        <v>44</v>
      </c>
      <c r="AC9" s="237" t="s">
        <v>4</v>
      </c>
      <c r="AD9" s="237" t="s">
        <v>45</v>
      </c>
      <c r="AE9" s="237" t="s">
        <v>4</v>
      </c>
      <c r="AF9" s="237" t="s">
        <v>47</v>
      </c>
      <c r="AG9" s="264" t="s">
        <v>28</v>
      </c>
      <c r="AH9" s="238" t="s">
        <v>33</v>
      </c>
      <c r="AI9" s="238" t="s">
        <v>34</v>
      </c>
      <c r="AJ9" s="238" t="s">
        <v>35</v>
      </c>
      <c r="AK9" s="238" t="s">
        <v>37</v>
      </c>
      <c r="AL9" s="238" t="s">
        <v>36</v>
      </c>
      <c r="AM9" s="238" t="s">
        <v>38</v>
      </c>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row>
    <row r="10" spans="1:71" s="4" customFormat="1" ht="94.6" customHeight="1" x14ac:dyDescent="0.25">
      <c r="A10" s="263"/>
      <c r="B10" s="238"/>
      <c r="C10" s="239"/>
      <c r="D10" s="249"/>
      <c r="E10" s="239"/>
      <c r="F10" s="238"/>
      <c r="G10" s="249"/>
      <c r="H10" s="249"/>
      <c r="I10" s="239"/>
      <c r="J10" s="238"/>
      <c r="K10" s="239"/>
      <c r="L10" s="242"/>
      <c r="M10" s="239"/>
      <c r="N10" s="239"/>
      <c r="O10" s="242"/>
      <c r="P10" s="242"/>
      <c r="Q10" s="238"/>
      <c r="R10" s="265"/>
      <c r="S10" s="238"/>
      <c r="T10" s="239"/>
      <c r="U10" s="163" t="s">
        <v>12</v>
      </c>
      <c r="V10" s="163" t="s">
        <v>16</v>
      </c>
      <c r="W10" s="163" t="s">
        <v>27</v>
      </c>
      <c r="X10" s="163" t="s">
        <v>17</v>
      </c>
      <c r="Y10" s="163" t="s">
        <v>20</v>
      </c>
      <c r="Z10" s="163" t="s">
        <v>23</v>
      </c>
      <c r="AA10" s="237"/>
      <c r="AB10" s="237"/>
      <c r="AC10" s="237"/>
      <c r="AD10" s="237"/>
      <c r="AE10" s="237"/>
      <c r="AF10" s="237"/>
      <c r="AG10" s="265"/>
      <c r="AH10" s="238"/>
      <c r="AI10" s="238"/>
      <c r="AJ10" s="238"/>
      <c r="AK10" s="238"/>
      <c r="AL10" s="238"/>
      <c r="AM10" s="238"/>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row>
    <row r="11" spans="1:71" s="3" customFormat="1" ht="68.45" customHeight="1" x14ac:dyDescent="0.25">
      <c r="A11" s="216">
        <v>1</v>
      </c>
      <c r="B11" s="207" t="s">
        <v>184</v>
      </c>
      <c r="C11" s="207" t="s">
        <v>298</v>
      </c>
      <c r="D11" s="207" t="s">
        <v>116</v>
      </c>
      <c r="E11" s="164" t="s">
        <v>303</v>
      </c>
      <c r="F11" s="207" t="s">
        <v>300</v>
      </c>
      <c r="G11" s="219" t="s">
        <v>193</v>
      </c>
      <c r="H11" s="219" t="s">
        <v>302</v>
      </c>
      <c r="I11" s="207" t="s">
        <v>216</v>
      </c>
      <c r="J11" s="210">
        <v>150</v>
      </c>
      <c r="K11" s="213" t="str">
        <f>IF(J11&lt;=0,"",IF(J11&lt;=5,"Muy Baja",IF(J11&lt;=24,"Baja",IF(J11&lt;=150,"Media",IF(J11&lt;=300,"Alta","Muy Alta")))))</f>
        <v>Media</v>
      </c>
      <c r="L11" s="225">
        <f>IF(K11="","",IF(K11="Muy Baja",0.2,IF(K11="Baja",0.4,IF(K11="Media",0.6,IF(K11="Alta",0.8,IF(K11="Muy Alta",1,))))))</f>
        <v>0.6</v>
      </c>
      <c r="M11" s="228" t="s">
        <v>137</v>
      </c>
      <c r="N11" s="225" t="str">
        <f ca="1">IF(NOT(ISERROR(MATCH(M11,'Tabla Impacto'!$B$221:$B$223,0))),'Tabla Impacto'!$F$223&amp;"Por favor no seleccionar los criterios de impacto(Afectación Económica o presupuestal y Pérdida Reputacional)",M11)</f>
        <v xml:space="preserve">     El riesgo afecta la imagen de la entidad con algunos usuarios de relevancia frente al logro de los objetivos</v>
      </c>
      <c r="O11" s="213" t="str">
        <f ca="1">IF(OR(N11='Tabla Impacto'!$C$11,N11='Tabla Impacto'!$D$11),"Leve",IF(OR(N11='Tabla Impacto'!$C$12,N11='Tabla Impacto'!$D$12),"Menor",IF(OR(N11='Tabla Impacto'!$C$13,N11='Tabla Impacto'!$D$13),"Moderado",IF(OR(N11='Tabla Impacto'!$C$14,N11='Tabla Impacto'!$D$14),"Mayor",IF(OR(N11='Tabla Impacto'!$C$15,N11='Tabla Impacto'!$D$15),"Catastrófico","")))))</f>
        <v>Moderado</v>
      </c>
      <c r="P11" s="225">
        <f ca="1">IF(O11="","",IF(O11="Leve",0.2,IF(O11="Menor",0.4,IF(O11="Moderado",0.6,IF(O11="Mayor",0.8,IF(O11="Catastrófico",1,))))))</f>
        <v>0.6</v>
      </c>
      <c r="Q11" s="222" t="str">
        <f ca="1">IF(OR(AND(K11="Muy Baja",O11="Leve"),AND(K11="Muy Baja",O11="Menor"),AND(K11="Baja",O11="Leve")),"Bajo",IF(OR(AND(K11="Muy baja",O11="Moderado"),AND(K11="Baja",O11="Menor"),AND(K11="Baja",O11="Moderado"),AND(K11="Media",O11="Leve"),AND(K11="Media",O11="Menor"),AND(K11="Media",O11="Moderado"),AND(K11="Alta",O11="Leve"),AND(K11="Alta",O11="Menor")),"Moderado",IF(OR(AND(K11="Muy Baja",O11="Mayor"),AND(K11="Baja",O11="Mayor"),AND(K11="Media",O11="Mayor"),AND(K11="Alta",O11="Moderado"),AND(K11="Alta",O11="Mayor"),AND(K11="Muy Alta",O11="Leve"),AND(K11="Muy Alta",O11="Menor"),AND(K11="Muy Alta",O11="Moderado"),AND(K11="Muy Alta",O11="Mayor")),"Alto",IF(OR(AND(K11="Muy Baja",O11="Catastrófico"),AND(K11="Baja",O11="Catastrófico"),AND(K11="Media",O11="Catastrófico"),AND(K11="Alta",O11="Catastrófico"),AND(K11="Muy Alta",O11="Catastrófico")),"Extremo",""))))</f>
        <v>Moderado</v>
      </c>
      <c r="R11" s="124">
        <v>1</v>
      </c>
      <c r="S11" s="125" t="s">
        <v>301</v>
      </c>
      <c r="T11" s="126" t="str">
        <f>IF(OR(U11="Preventivo",U11="Detectivo"),"Probabilidad",IF(U11="Correctivo","Impacto",""))</f>
        <v>Impacto</v>
      </c>
      <c r="U11" s="127" t="s">
        <v>15</v>
      </c>
      <c r="V11" s="127" t="s">
        <v>8</v>
      </c>
      <c r="W11" s="128" t="str">
        <f t="shared" ref="W11:W42" si="0">IF(AND(U11="Preventivo",V11="Automático"),"50%",IF(AND(U11="Preventivo",V11="Manual"),"40%",IF(AND(U11="Detectivo",V11="Automático"),"40%",IF(AND(U11="Detectivo",V11="Manual"),"30%",IF(AND(U11="Correctivo",V11="Automático"),"35%",IF(AND(U11="Correctivo",V11="Manual"),"25%",""))))))</f>
        <v>25%</v>
      </c>
      <c r="X11" s="127" t="s">
        <v>18</v>
      </c>
      <c r="Y11" s="127" t="s">
        <v>21</v>
      </c>
      <c r="Z11" s="127" t="s">
        <v>111</v>
      </c>
      <c r="AA11" s="129">
        <f>IFERROR(IF(T11="Probabilidad",(L11-(+L11*W11)),IF(T11="Impacto",L11,"")),"")</f>
        <v>0.6</v>
      </c>
      <c r="AB11" s="130" t="str">
        <f>IFERROR(IF(AA11="","",IF(AA11&lt;=0.2,"Muy Baja",IF(AA11&lt;=0.4,"Baja",IF(AA11&lt;=0.6,"Media",IF(AA11&lt;=0.8,"Alta","Muy Alta"))))),"")</f>
        <v>Media</v>
      </c>
      <c r="AC11" s="131">
        <f t="shared" ref="AC11:AC42" si="1">+AA11</f>
        <v>0.6</v>
      </c>
      <c r="AD11" s="130" t="str">
        <f ca="1">IFERROR(IF(AE11="","",IF(AE11&lt;=0.2,"Leve",IF(AE11&lt;=0.4,"Menor",IF(AE11&lt;=0.6,"Moderado",IF(AE11&lt;=0.8,"Mayor","Catastrófico"))))),"")</f>
        <v>Moderado</v>
      </c>
      <c r="AE11" s="131">
        <f ca="1">IFERROR(IF(T11="Impacto",(P11-(+P11*W11)),IF(T11="Probabilidad",P11,"")),"")</f>
        <v>0.44999999999999996</v>
      </c>
      <c r="AF11" s="132" t="str">
        <f t="shared" ref="AF11:AF42" ca="1" si="2">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Moderado</v>
      </c>
      <c r="AG11" s="133" t="s">
        <v>30</v>
      </c>
      <c r="AH11" s="134"/>
      <c r="AI11" s="135"/>
      <c r="AJ11" s="136"/>
      <c r="AK11" s="136"/>
      <c r="AL11" s="134"/>
      <c r="AM11" s="13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row>
    <row r="12" spans="1:71" ht="68.45" customHeight="1" x14ac:dyDescent="0.25">
      <c r="A12" s="217"/>
      <c r="B12" s="208"/>
      <c r="C12" s="208"/>
      <c r="D12" s="208"/>
      <c r="E12" s="164" t="s">
        <v>304</v>
      </c>
      <c r="F12" s="208"/>
      <c r="G12" s="220"/>
      <c r="H12" s="220"/>
      <c r="I12" s="208"/>
      <c r="J12" s="211"/>
      <c r="K12" s="214"/>
      <c r="L12" s="226"/>
      <c r="M12" s="229"/>
      <c r="N12" s="226">
        <f ca="1">IF(NOT(ISERROR(MATCH(M12,_xlfn.ANCHORARRAY(H23),0))),L25&amp;"Por favor no seleccionar los criterios de impacto",M12)</f>
        <v>0</v>
      </c>
      <c r="O12" s="214"/>
      <c r="P12" s="226"/>
      <c r="Q12" s="223"/>
      <c r="R12" s="124">
        <v>2</v>
      </c>
      <c r="S12" s="125" t="s">
        <v>347</v>
      </c>
      <c r="T12" s="126" t="str">
        <f t="shared" ref="T12:T70" si="3">IF(OR(U12="Preventivo",U12="Detectivo"),"Probabilidad",IF(U12="Correctivo","Impacto",""))</f>
        <v>Probabilidad</v>
      </c>
      <c r="U12" s="127" t="s">
        <v>13</v>
      </c>
      <c r="V12" s="127" t="s">
        <v>8</v>
      </c>
      <c r="W12" s="128" t="str">
        <f t="shared" si="0"/>
        <v>40%</v>
      </c>
      <c r="X12" s="127" t="s">
        <v>19</v>
      </c>
      <c r="Y12" s="127" t="s">
        <v>21</v>
      </c>
      <c r="Z12" s="127" t="s">
        <v>111</v>
      </c>
      <c r="AA12" s="129">
        <f>IFERROR(IF(AND(T11="Probabilidad",T12="Probabilidad"),(AC11-(+AC11*W12)),IF(T12="Probabilidad",(L11-(+L11*W12)),IF(T12="Impacto",AC11,""))),"")</f>
        <v>0.36</v>
      </c>
      <c r="AB12" s="130" t="str">
        <f t="shared" ref="AB12:AB70" si="4">IFERROR(IF(AA12="","",IF(AA12&lt;=0.2,"Muy Baja",IF(AA12&lt;=0.4,"Baja",IF(AA12&lt;=0.6,"Media",IF(AA12&lt;=0.8,"Alta","Muy Alta"))))),"")</f>
        <v>Baja</v>
      </c>
      <c r="AC12" s="131">
        <f t="shared" si="1"/>
        <v>0.36</v>
      </c>
      <c r="AD12" s="130" t="str">
        <f t="shared" ref="AD12:AD70" ca="1" si="5">IFERROR(IF(AE12="","",IF(AE12&lt;=0.2,"Leve",IF(AE12&lt;=0.4,"Menor",IF(AE12&lt;=0.6,"Moderado",IF(AE12&lt;=0.8,"Mayor","Catastrófico"))))),"")</f>
        <v>Moderado</v>
      </c>
      <c r="AE12" s="138">
        <f ca="1">IFERROR(IF(AND(T11="Impacto",T12="Impacto"),(AE11-(+AE11*W12)),IF(T12="Impacto",(P11-(+P11*W12)),IF(T12="Probabilidad",AE11,""))),"")</f>
        <v>0.44999999999999996</v>
      </c>
      <c r="AF12" s="132" t="str">
        <f t="shared" ca="1" si="2"/>
        <v>Moderado</v>
      </c>
      <c r="AG12" s="133" t="s">
        <v>30</v>
      </c>
      <c r="AH12" s="134"/>
      <c r="AI12" s="135"/>
      <c r="AJ12" s="136"/>
      <c r="AK12" s="136"/>
      <c r="AL12" s="134"/>
      <c r="AM12" s="135"/>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row>
    <row r="13" spans="1:71" ht="68.45" customHeight="1" x14ac:dyDescent="0.25">
      <c r="A13" s="217"/>
      <c r="B13" s="208"/>
      <c r="C13" s="208"/>
      <c r="D13" s="208"/>
      <c r="E13" s="140"/>
      <c r="F13" s="208"/>
      <c r="G13" s="220"/>
      <c r="H13" s="220"/>
      <c r="I13" s="208"/>
      <c r="J13" s="211"/>
      <c r="K13" s="214"/>
      <c r="L13" s="226"/>
      <c r="M13" s="229"/>
      <c r="N13" s="226">
        <f ca="1">IF(NOT(ISERROR(MATCH(M13,_xlfn.ANCHORARRAY(H24),0))),L26&amp;"Por favor no seleccionar los criterios de impacto",M13)</f>
        <v>0</v>
      </c>
      <c r="O13" s="214"/>
      <c r="P13" s="226"/>
      <c r="Q13" s="223"/>
      <c r="R13" s="124">
        <v>3</v>
      </c>
      <c r="S13" s="137"/>
      <c r="T13" s="126" t="str">
        <f t="shared" si="3"/>
        <v/>
      </c>
      <c r="U13" s="127"/>
      <c r="V13" s="127"/>
      <c r="W13" s="128" t="str">
        <f t="shared" si="0"/>
        <v/>
      </c>
      <c r="X13" s="127"/>
      <c r="Y13" s="127"/>
      <c r="Z13" s="127"/>
      <c r="AA13" s="129" t="str">
        <f>IFERROR(IF(AND(T12="Probabilidad",T13="Probabilidad"),(AC12-(+AC12*W13)),IF(AND(T12="Impacto",T13="Probabilidad"),(AC11-(+AC11*W13)),IF(T13="Impacto",AC12,""))),"")</f>
        <v/>
      </c>
      <c r="AB13" s="130" t="str">
        <f t="shared" si="4"/>
        <v/>
      </c>
      <c r="AC13" s="131" t="str">
        <f t="shared" si="1"/>
        <v/>
      </c>
      <c r="AD13" s="130" t="str">
        <f t="shared" si="5"/>
        <v/>
      </c>
      <c r="AE13" s="138" t="str">
        <f>IFERROR(IF(AND(T12="Impacto",T13="Impacto"),(AE12-(+AE12*W13)),IF(AND(T12="Probabilidad",T13="Impacto"),(AE11-(+AE11*W13)),IF(T13="Probabilidad",AE12,""))),"")</f>
        <v/>
      </c>
      <c r="AF13" s="132" t="str">
        <f t="shared" si="2"/>
        <v/>
      </c>
      <c r="AG13" s="133"/>
      <c r="AH13" s="134"/>
      <c r="AI13" s="135"/>
      <c r="AJ13" s="136"/>
      <c r="AK13" s="136"/>
      <c r="AL13" s="134"/>
      <c r="AM13" s="135"/>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row>
    <row r="14" spans="1:71" ht="68.45" customHeight="1" x14ac:dyDescent="0.25">
      <c r="A14" s="217"/>
      <c r="B14" s="208"/>
      <c r="C14" s="208"/>
      <c r="D14" s="208"/>
      <c r="E14" s="140"/>
      <c r="F14" s="208"/>
      <c r="G14" s="220"/>
      <c r="H14" s="220"/>
      <c r="I14" s="208"/>
      <c r="J14" s="211"/>
      <c r="K14" s="214"/>
      <c r="L14" s="226"/>
      <c r="M14" s="229"/>
      <c r="N14" s="226">
        <f ca="1">IF(NOT(ISERROR(MATCH(M14,_xlfn.ANCHORARRAY(H25),0))),L27&amp;"Por favor no seleccionar los criterios de impacto",M14)</f>
        <v>0</v>
      </c>
      <c r="O14" s="214"/>
      <c r="P14" s="226"/>
      <c r="Q14" s="223"/>
      <c r="R14" s="124">
        <v>4</v>
      </c>
      <c r="S14" s="125"/>
      <c r="T14" s="126" t="str">
        <f t="shared" si="3"/>
        <v/>
      </c>
      <c r="U14" s="127"/>
      <c r="V14" s="127"/>
      <c r="W14" s="128" t="str">
        <f t="shared" si="0"/>
        <v/>
      </c>
      <c r="X14" s="127"/>
      <c r="Y14" s="127"/>
      <c r="Z14" s="127"/>
      <c r="AA14" s="129" t="str">
        <f>IFERROR(IF(AND(T13="Probabilidad",T14="Probabilidad"),(AC13-(+AC13*W14)),IF(AND(T13="Impacto",T14="Probabilidad"),(AC12-(+AC12*W14)),IF(T14="Impacto",AC13,""))),"")</f>
        <v/>
      </c>
      <c r="AB14" s="130" t="str">
        <f t="shared" si="4"/>
        <v/>
      </c>
      <c r="AC14" s="131" t="str">
        <f t="shared" si="1"/>
        <v/>
      </c>
      <c r="AD14" s="130" t="str">
        <f t="shared" si="5"/>
        <v/>
      </c>
      <c r="AE14" s="138" t="str">
        <f>IFERROR(IF(AND(T13="Impacto",T14="Impacto"),(AE13-(+AE13*W14)),IF(AND(T13="Probabilidad",T14="Impacto"),(AE12-(+AE12*W14)),IF(T14="Probabilidad",AE13,""))),"")</f>
        <v/>
      </c>
      <c r="AF14" s="132" t="str">
        <f t="shared" si="2"/>
        <v/>
      </c>
      <c r="AG14" s="133"/>
      <c r="AH14" s="134"/>
      <c r="AI14" s="135"/>
      <c r="AJ14" s="136"/>
      <c r="AK14" s="136"/>
      <c r="AL14" s="134"/>
      <c r="AM14" s="135"/>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68.45" customHeight="1" x14ac:dyDescent="0.25">
      <c r="A15" s="217"/>
      <c r="B15" s="208"/>
      <c r="C15" s="208"/>
      <c r="D15" s="208"/>
      <c r="E15" s="140"/>
      <c r="F15" s="208"/>
      <c r="G15" s="220"/>
      <c r="H15" s="220"/>
      <c r="I15" s="208"/>
      <c r="J15" s="211"/>
      <c r="K15" s="214"/>
      <c r="L15" s="226"/>
      <c r="M15" s="229"/>
      <c r="N15" s="226">
        <f ca="1">IF(NOT(ISERROR(MATCH(M15,_xlfn.ANCHORARRAY(H26),0))),L28&amp;"Por favor no seleccionar los criterios de impacto",M15)</f>
        <v>0</v>
      </c>
      <c r="O15" s="214"/>
      <c r="P15" s="226"/>
      <c r="Q15" s="223"/>
      <c r="R15" s="124">
        <v>5</v>
      </c>
      <c r="S15" s="125"/>
      <c r="T15" s="126" t="str">
        <f t="shared" si="3"/>
        <v/>
      </c>
      <c r="U15" s="127"/>
      <c r="V15" s="127"/>
      <c r="W15" s="128" t="str">
        <f t="shared" si="0"/>
        <v/>
      </c>
      <c r="X15" s="127"/>
      <c r="Y15" s="127"/>
      <c r="Z15" s="127"/>
      <c r="AA15" s="129" t="str">
        <f>IFERROR(IF(AND(T14="Probabilidad",T15="Probabilidad"),(AC14-(+AC14*W15)),IF(AND(T14="Impacto",T15="Probabilidad"),(AC13-(+AC13*W15)),IF(T15="Impacto",AC14,""))),"")</f>
        <v/>
      </c>
      <c r="AB15" s="130" t="str">
        <f t="shared" si="4"/>
        <v/>
      </c>
      <c r="AC15" s="131" t="str">
        <f t="shared" si="1"/>
        <v/>
      </c>
      <c r="AD15" s="130" t="str">
        <f t="shared" si="5"/>
        <v/>
      </c>
      <c r="AE15" s="138" t="str">
        <f>IFERROR(IF(AND(T14="Impacto",T15="Impacto"),(AE14-(+AE14*W15)),IF(AND(T14="Probabilidad",T15="Impacto"),(AE13-(+AE13*W15)),IF(T15="Probabilidad",AE14,""))),"")</f>
        <v/>
      </c>
      <c r="AF15" s="132" t="str">
        <f t="shared" si="2"/>
        <v/>
      </c>
      <c r="AG15" s="133"/>
      <c r="AH15" s="134"/>
      <c r="AI15" s="135"/>
      <c r="AJ15" s="136"/>
      <c r="AK15" s="136"/>
      <c r="AL15" s="134"/>
      <c r="AM15" s="135"/>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68.45" customHeight="1" x14ac:dyDescent="0.25">
      <c r="A16" s="218"/>
      <c r="B16" s="209"/>
      <c r="C16" s="209"/>
      <c r="D16" s="209"/>
      <c r="E16" s="141"/>
      <c r="F16" s="209"/>
      <c r="G16" s="221"/>
      <c r="H16" s="221"/>
      <c r="I16" s="209"/>
      <c r="J16" s="212"/>
      <c r="K16" s="215"/>
      <c r="L16" s="227"/>
      <c r="M16" s="230"/>
      <c r="N16" s="227">
        <f ca="1">IF(NOT(ISERROR(MATCH(M16,_xlfn.ANCHORARRAY(H27),0))),L29&amp;"Por favor no seleccionar los criterios de impacto",M16)</f>
        <v>0</v>
      </c>
      <c r="O16" s="215"/>
      <c r="P16" s="227"/>
      <c r="Q16" s="224"/>
      <c r="R16" s="124">
        <v>6</v>
      </c>
      <c r="S16" s="125"/>
      <c r="T16" s="126" t="str">
        <f t="shared" si="3"/>
        <v/>
      </c>
      <c r="U16" s="127"/>
      <c r="V16" s="127"/>
      <c r="W16" s="128" t="str">
        <f t="shared" si="0"/>
        <v/>
      </c>
      <c r="X16" s="127"/>
      <c r="Y16" s="127"/>
      <c r="Z16" s="127"/>
      <c r="AA16" s="129" t="str">
        <f>IFERROR(IF(AND(T15="Probabilidad",T16="Probabilidad"),(AC15-(+AC15*W16)),IF(AND(T15="Impacto",T16="Probabilidad"),(AC14-(+AC14*W16)),IF(T16="Impacto",AC15,""))),"")</f>
        <v/>
      </c>
      <c r="AB16" s="130" t="str">
        <f t="shared" si="4"/>
        <v/>
      </c>
      <c r="AC16" s="131" t="str">
        <f t="shared" si="1"/>
        <v/>
      </c>
      <c r="AD16" s="130" t="str">
        <f t="shared" si="5"/>
        <v/>
      </c>
      <c r="AE16" s="138" t="str">
        <f>IFERROR(IF(AND(T15="Impacto",T16="Impacto"),(AE15-(+AE15*W16)),IF(AND(T15="Probabilidad",T16="Impacto"),(AE14-(+AE14*W16)),IF(T16="Probabilidad",AE15,""))),"")</f>
        <v/>
      </c>
      <c r="AF16" s="132" t="str">
        <f t="shared" si="2"/>
        <v/>
      </c>
      <c r="AG16" s="133"/>
      <c r="AH16" s="134"/>
      <c r="AI16" s="135"/>
      <c r="AJ16" s="136"/>
      <c r="AK16" s="136"/>
      <c r="AL16" s="134"/>
      <c r="AM16" s="135"/>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71" ht="68.45" customHeight="1" x14ac:dyDescent="0.25">
      <c r="A17" s="216">
        <v>2</v>
      </c>
      <c r="B17" s="207" t="s">
        <v>187</v>
      </c>
      <c r="C17" s="207" t="s">
        <v>305</v>
      </c>
      <c r="D17" s="207" t="s">
        <v>116</v>
      </c>
      <c r="E17" s="139" t="s">
        <v>299</v>
      </c>
      <c r="F17" s="207" t="s">
        <v>306</v>
      </c>
      <c r="G17" s="219" t="s">
        <v>194</v>
      </c>
      <c r="H17" s="219" t="s">
        <v>307</v>
      </c>
      <c r="I17" s="207" t="s">
        <v>212</v>
      </c>
      <c r="J17" s="210">
        <v>150</v>
      </c>
      <c r="K17" s="213" t="str">
        <f>IF(J17&lt;=0,"",IF(J17&lt;=2,"Muy Baja",IF(J17&lt;=24,"Baja",IF(J17&lt;=500,"Media",IF(J17&lt;=5000,"Alta","Muy Alta")))))</f>
        <v>Media</v>
      </c>
      <c r="L17" s="225">
        <f>IF(K17="","",IF(K17="Muy Baja",0.2,IF(K17="Baja",0.4,IF(K17="Media",0.6,IF(K17="Alta",0.8,IF(K17="Muy Alta",1,))))))</f>
        <v>0.6</v>
      </c>
      <c r="M17" s="228" t="s">
        <v>137</v>
      </c>
      <c r="N17" s="225" t="str">
        <f ca="1">IF(NOT(ISERROR(MATCH(M17,'Tabla Impacto'!$B$221:$B$223,0))),'Tabla Impacto'!$F$223&amp;"Por favor no seleccionar los criterios de impacto(Afectación Económica o presupuestal y Pérdida Reputacional)",M17)</f>
        <v xml:space="preserve">     El riesgo afecta la imagen de la entidad con algunos usuarios de relevancia frente al logro de los objetivos</v>
      </c>
      <c r="O17" s="213" t="str">
        <f ca="1">IF(OR(N17='Tabla Impacto'!$C$11,N17='Tabla Impacto'!$D$11),"Leve",IF(OR(N17='Tabla Impacto'!$C$12,N17='Tabla Impacto'!$D$12),"Menor",IF(OR(N17='Tabla Impacto'!$C$13,N17='Tabla Impacto'!$D$13),"Moderado",IF(OR(N17='Tabla Impacto'!$C$14,N17='Tabla Impacto'!$D$14),"Mayor",IF(OR(N17='Tabla Impacto'!$C$15,N17='Tabla Impacto'!$D$15),"Catastrófico","")))))</f>
        <v>Moderado</v>
      </c>
      <c r="P17" s="225">
        <f ca="1">IF(O17="","",IF(O17="Leve",0.2,IF(O17="Menor",0.4,IF(O17="Moderado",0.6,IF(O17="Mayor",0.8,IF(O17="Catastrófico",1,))))))</f>
        <v>0.6</v>
      </c>
      <c r="Q17" s="222" t="str">
        <f ca="1">IF(OR(AND(K17="Muy Baja",O17="Leve"),AND(K17="Muy Baja",O17="Menor"),AND(K17="Baja",O17="Leve")),"Bajo",IF(OR(AND(K17="Muy baja",O17="Moderado"),AND(K17="Baja",O17="Menor"),AND(K17="Baja",O17="Moderado"),AND(K17="Media",O17="Leve"),AND(K17="Media",O17="Menor"),AND(K17="Media",O17="Moderado"),AND(K17="Alta",O17="Leve"),AND(K17="Alta",O17="Menor")),"Moderado",IF(OR(AND(K17="Muy Baja",O17="Mayor"),AND(K17="Baja",O17="Mayor"),AND(K17="Media",O17="Mayor"),AND(K17="Alta",O17="Moderado"),AND(K17="Alta",O17="Mayor"),AND(K17="Muy Alta",O17="Leve"),AND(K17="Muy Alta",O17="Menor"),AND(K17="Muy Alta",O17="Moderado"),AND(K17="Muy Alta",O17="Mayor")),"Alto",IF(OR(AND(K17="Muy Baja",O17="Catastrófico"),AND(K17="Baja",O17="Catastrófico"),AND(K17="Media",O17="Catastrófico"),AND(K17="Alta",O17="Catastrófico"),AND(K17="Muy Alta",O17="Catastrófico")),"Extremo",""))))</f>
        <v>Moderado</v>
      </c>
      <c r="R17" s="124">
        <v>1</v>
      </c>
      <c r="S17" s="125" t="s">
        <v>308</v>
      </c>
      <c r="T17" s="126" t="str">
        <f t="shared" si="3"/>
        <v>Probabilidad</v>
      </c>
      <c r="U17" s="127" t="s">
        <v>13</v>
      </c>
      <c r="V17" s="127" t="s">
        <v>8</v>
      </c>
      <c r="W17" s="128" t="str">
        <f t="shared" si="0"/>
        <v>40%</v>
      </c>
      <c r="X17" s="127" t="s">
        <v>18</v>
      </c>
      <c r="Y17" s="127" t="s">
        <v>21</v>
      </c>
      <c r="Z17" s="127" t="s">
        <v>111</v>
      </c>
      <c r="AA17" s="129">
        <f>IFERROR(IF(T17="Probabilidad",(L17-(+L17*W17)),IF(T17="Impacto",L17,"")),"")</f>
        <v>0.36</v>
      </c>
      <c r="AB17" s="130" t="str">
        <f>IFERROR(IF(AA17="","",IF(AA17&lt;=0.2,"Muy Baja",IF(AA17&lt;=0.4,"Baja",IF(AA17&lt;=0.6,"Media",IF(AA17&lt;=0.8,"Alta","Muy Alta"))))),"")</f>
        <v>Baja</v>
      </c>
      <c r="AC17" s="131">
        <f t="shared" si="1"/>
        <v>0.36</v>
      </c>
      <c r="AD17" s="130" t="str">
        <f ca="1">IFERROR(IF(AE17="","",IF(AE17&lt;=0.2,"Leve",IF(AE17&lt;=0.4,"Menor",IF(AE17&lt;=0.6,"Moderado",IF(AE17&lt;=0.8,"Mayor","Catastrófico"))))),"")</f>
        <v>Moderado</v>
      </c>
      <c r="AE17" s="138">
        <f ca="1">IFERROR(IF(T17="Impacto",(P17-(+P17*W17)),IF(T17="Probabilidad",P17,"")),"")</f>
        <v>0.6</v>
      </c>
      <c r="AF17" s="132" t="str">
        <f t="shared" ca="1" si="2"/>
        <v>Moderado</v>
      </c>
      <c r="AG17" s="133" t="s">
        <v>30</v>
      </c>
      <c r="AH17" s="134"/>
      <c r="AI17" s="135"/>
      <c r="AJ17" s="136"/>
      <c r="AK17" s="136"/>
      <c r="AL17" s="134"/>
      <c r="AM17" s="135"/>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row>
    <row r="18" spans="1:71" ht="68.45" customHeight="1" x14ac:dyDescent="0.25">
      <c r="A18" s="217"/>
      <c r="B18" s="208"/>
      <c r="C18" s="208"/>
      <c r="D18" s="208"/>
      <c r="E18" s="140"/>
      <c r="F18" s="208"/>
      <c r="G18" s="220"/>
      <c r="H18" s="220"/>
      <c r="I18" s="208"/>
      <c r="J18" s="211"/>
      <c r="K18" s="214"/>
      <c r="L18" s="226"/>
      <c r="M18" s="229"/>
      <c r="N18" s="226">
        <f ca="1">IF(NOT(ISERROR(MATCH(M18,_xlfn.ANCHORARRAY(H29),0))),L31&amp;"Por favor no seleccionar los criterios de impacto",M18)</f>
        <v>0</v>
      </c>
      <c r="O18" s="214"/>
      <c r="P18" s="226"/>
      <c r="Q18" s="223"/>
      <c r="R18" s="124">
        <v>2</v>
      </c>
      <c r="S18" s="125"/>
      <c r="T18" s="126" t="str">
        <f t="shared" si="3"/>
        <v/>
      </c>
      <c r="U18" s="127"/>
      <c r="V18" s="127"/>
      <c r="W18" s="128" t="str">
        <f t="shared" si="0"/>
        <v/>
      </c>
      <c r="X18" s="127"/>
      <c r="Y18" s="127"/>
      <c r="Z18" s="127"/>
      <c r="AA18" s="129" t="str">
        <f>IFERROR(IF(AND(T17="Probabilidad",T18="Probabilidad"),(AC17-(+AC17*W18)),IF(T18="Probabilidad",(L17-(+L17*W18)),IF(T18="Impacto",AC17,""))),"")</f>
        <v/>
      </c>
      <c r="AB18" s="130" t="str">
        <f t="shared" si="4"/>
        <v/>
      </c>
      <c r="AC18" s="131" t="str">
        <f t="shared" si="1"/>
        <v/>
      </c>
      <c r="AD18" s="130" t="str">
        <f t="shared" si="5"/>
        <v/>
      </c>
      <c r="AE18" s="138" t="str">
        <f>IFERROR(IF(AND(T17="Impacto",T18="Impacto"),(AE17-(+AE17*W18)),IF(T18="Impacto",(P17-(+P17*W18)),IF(T18="Probabilidad",AE17,""))),"")</f>
        <v/>
      </c>
      <c r="AF18" s="132" t="str">
        <f t="shared" si="2"/>
        <v/>
      </c>
      <c r="AG18" s="133"/>
      <c r="AH18" s="134"/>
      <c r="AI18" s="135"/>
      <c r="AJ18" s="136"/>
      <c r="AK18" s="136"/>
      <c r="AL18" s="134"/>
      <c r="AM18" s="135"/>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row>
    <row r="19" spans="1:71" ht="68.45" customHeight="1" x14ac:dyDescent="0.25">
      <c r="A19" s="217"/>
      <c r="B19" s="208"/>
      <c r="C19" s="208"/>
      <c r="D19" s="208"/>
      <c r="E19" s="140"/>
      <c r="F19" s="208"/>
      <c r="G19" s="220"/>
      <c r="H19" s="220"/>
      <c r="I19" s="208"/>
      <c r="J19" s="211"/>
      <c r="K19" s="214"/>
      <c r="L19" s="226"/>
      <c r="M19" s="229"/>
      <c r="N19" s="226">
        <f ca="1">IF(NOT(ISERROR(MATCH(M19,_xlfn.ANCHORARRAY(H30),0))),L32&amp;"Por favor no seleccionar los criterios de impacto",M19)</f>
        <v>0</v>
      </c>
      <c r="O19" s="214"/>
      <c r="P19" s="226"/>
      <c r="Q19" s="223"/>
      <c r="R19" s="124">
        <v>3</v>
      </c>
      <c r="S19" s="137"/>
      <c r="T19" s="126" t="str">
        <f t="shared" si="3"/>
        <v/>
      </c>
      <c r="U19" s="127"/>
      <c r="V19" s="127"/>
      <c r="W19" s="128" t="str">
        <f t="shared" si="0"/>
        <v/>
      </c>
      <c r="X19" s="127"/>
      <c r="Y19" s="127"/>
      <c r="Z19" s="127"/>
      <c r="AA19" s="129" t="str">
        <f>IFERROR(IF(AND(T18="Probabilidad",T19="Probabilidad"),(AC18-(+AC18*W19)),IF(AND(T18="Impacto",T19="Probabilidad"),(AC17-(+AC17*W19)),IF(T19="Impacto",AC18,""))),"")</f>
        <v/>
      </c>
      <c r="AB19" s="130" t="str">
        <f t="shared" si="4"/>
        <v/>
      </c>
      <c r="AC19" s="131" t="str">
        <f t="shared" si="1"/>
        <v/>
      </c>
      <c r="AD19" s="130" t="str">
        <f t="shared" si="5"/>
        <v/>
      </c>
      <c r="AE19" s="138" t="str">
        <f>IFERROR(IF(AND(T18="Impacto",T19="Impacto"),(AE18-(+AE18*W19)),IF(AND(T18="Probabilidad",T19="Impacto"),(AE17-(+AE17*W19)),IF(T19="Probabilidad",AE18,""))),"")</f>
        <v/>
      </c>
      <c r="AF19" s="132" t="str">
        <f t="shared" si="2"/>
        <v/>
      </c>
      <c r="AG19" s="133"/>
      <c r="AH19" s="134"/>
      <c r="AI19" s="135"/>
      <c r="AJ19" s="136"/>
      <c r="AK19" s="136"/>
      <c r="AL19" s="134"/>
      <c r="AM19" s="135"/>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row>
    <row r="20" spans="1:71" ht="68.45" customHeight="1" x14ac:dyDescent="0.25">
      <c r="A20" s="217"/>
      <c r="B20" s="208"/>
      <c r="C20" s="208"/>
      <c r="D20" s="208"/>
      <c r="E20" s="140"/>
      <c r="F20" s="208"/>
      <c r="G20" s="220"/>
      <c r="H20" s="220"/>
      <c r="I20" s="208"/>
      <c r="J20" s="211"/>
      <c r="K20" s="214"/>
      <c r="L20" s="226"/>
      <c r="M20" s="229"/>
      <c r="N20" s="226">
        <f ca="1">IF(NOT(ISERROR(MATCH(M20,_xlfn.ANCHORARRAY(H31),0))),L33&amp;"Por favor no seleccionar los criterios de impacto",M20)</f>
        <v>0</v>
      </c>
      <c r="O20" s="214"/>
      <c r="P20" s="226"/>
      <c r="Q20" s="223"/>
      <c r="R20" s="124">
        <v>4</v>
      </c>
      <c r="S20" s="125"/>
      <c r="T20" s="126" t="str">
        <f t="shared" si="3"/>
        <v/>
      </c>
      <c r="U20" s="127"/>
      <c r="V20" s="127"/>
      <c r="W20" s="128" t="str">
        <f t="shared" si="0"/>
        <v/>
      </c>
      <c r="X20" s="127"/>
      <c r="Y20" s="127"/>
      <c r="Z20" s="127"/>
      <c r="AA20" s="129" t="str">
        <f>IFERROR(IF(AND(T19="Probabilidad",T20="Probabilidad"),(AC19-(+AC19*W20)),IF(AND(T19="Impacto",T20="Probabilidad"),(AC18-(+AC18*W20)),IF(T20="Impacto",AC19,""))),"")</f>
        <v/>
      </c>
      <c r="AB20" s="130" t="str">
        <f t="shared" si="4"/>
        <v/>
      </c>
      <c r="AC20" s="131" t="str">
        <f t="shared" si="1"/>
        <v/>
      </c>
      <c r="AD20" s="130" t="str">
        <f t="shared" si="5"/>
        <v/>
      </c>
      <c r="AE20" s="138" t="str">
        <f>IFERROR(IF(AND(T19="Impacto",T20="Impacto"),(AE19-(+AE19*W20)),IF(AND(T19="Probabilidad",T20="Impacto"),(AE18-(+AE18*W20)),IF(T20="Probabilidad",AE19,""))),"")</f>
        <v/>
      </c>
      <c r="AF20" s="132" t="str">
        <f t="shared" si="2"/>
        <v/>
      </c>
      <c r="AG20" s="133"/>
      <c r="AH20" s="134"/>
      <c r="AI20" s="135"/>
      <c r="AJ20" s="136"/>
      <c r="AK20" s="136"/>
      <c r="AL20" s="134"/>
      <c r="AM20" s="135"/>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row>
    <row r="21" spans="1:71" ht="68.45" customHeight="1" x14ac:dyDescent="0.25">
      <c r="A21" s="217"/>
      <c r="B21" s="208"/>
      <c r="C21" s="208"/>
      <c r="D21" s="208"/>
      <c r="E21" s="140"/>
      <c r="F21" s="208"/>
      <c r="G21" s="220"/>
      <c r="H21" s="220"/>
      <c r="I21" s="208"/>
      <c r="J21" s="211"/>
      <c r="K21" s="214"/>
      <c r="L21" s="226"/>
      <c r="M21" s="229"/>
      <c r="N21" s="226">
        <f ca="1">IF(NOT(ISERROR(MATCH(M21,_xlfn.ANCHORARRAY(H32),0))),L34&amp;"Por favor no seleccionar los criterios de impacto",M21)</f>
        <v>0</v>
      </c>
      <c r="O21" s="214"/>
      <c r="P21" s="226"/>
      <c r="Q21" s="223"/>
      <c r="R21" s="124">
        <v>5</v>
      </c>
      <c r="S21" s="125"/>
      <c r="T21" s="126" t="str">
        <f t="shared" si="3"/>
        <v/>
      </c>
      <c r="U21" s="127"/>
      <c r="V21" s="127"/>
      <c r="W21" s="128" t="str">
        <f t="shared" si="0"/>
        <v/>
      </c>
      <c r="X21" s="127"/>
      <c r="Y21" s="127"/>
      <c r="Z21" s="127"/>
      <c r="AA21" s="129" t="str">
        <f>IFERROR(IF(AND(T20="Probabilidad",T21="Probabilidad"),(AC20-(+AC20*W21)),IF(AND(T20="Impacto",T21="Probabilidad"),(AC19-(+AC19*W21)),IF(T21="Impacto",AC20,""))),"")</f>
        <v/>
      </c>
      <c r="AB21" s="130" t="str">
        <f t="shared" si="4"/>
        <v/>
      </c>
      <c r="AC21" s="131" t="str">
        <f t="shared" si="1"/>
        <v/>
      </c>
      <c r="AD21" s="130" t="str">
        <f t="shared" si="5"/>
        <v/>
      </c>
      <c r="AE21" s="138" t="str">
        <f>IFERROR(IF(AND(T20="Impacto",T21="Impacto"),(AE20-(+AE20*W21)),IF(AND(T20="Probabilidad",T21="Impacto"),(AE19-(+AE19*W21)),IF(T21="Probabilidad",AE20,""))),"")</f>
        <v/>
      </c>
      <c r="AF21" s="132" t="str">
        <f t="shared" si="2"/>
        <v/>
      </c>
      <c r="AG21" s="133"/>
      <c r="AH21" s="134"/>
      <c r="AI21" s="135"/>
      <c r="AJ21" s="136"/>
      <c r="AK21" s="136"/>
      <c r="AL21" s="134"/>
      <c r="AM21" s="135"/>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row>
    <row r="22" spans="1:71" ht="68.45" customHeight="1" x14ac:dyDescent="0.25">
      <c r="A22" s="218"/>
      <c r="B22" s="209"/>
      <c r="C22" s="209"/>
      <c r="D22" s="209"/>
      <c r="E22" s="141"/>
      <c r="F22" s="209"/>
      <c r="G22" s="221"/>
      <c r="H22" s="221"/>
      <c r="I22" s="209"/>
      <c r="J22" s="212"/>
      <c r="K22" s="215"/>
      <c r="L22" s="227"/>
      <c r="M22" s="230"/>
      <c r="N22" s="227">
        <f ca="1">IF(NOT(ISERROR(MATCH(M22,_xlfn.ANCHORARRAY(H33),0))),L35&amp;"Por favor no seleccionar los criterios de impacto",M22)</f>
        <v>0</v>
      </c>
      <c r="O22" s="215"/>
      <c r="P22" s="227"/>
      <c r="Q22" s="224"/>
      <c r="R22" s="124">
        <v>6</v>
      </c>
      <c r="S22" s="125"/>
      <c r="T22" s="126" t="str">
        <f t="shared" si="3"/>
        <v/>
      </c>
      <c r="U22" s="127"/>
      <c r="V22" s="127"/>
      <c r="W22" s="128" t="str">
        <f t="shared" si="0"/>
        <v/>
      </c>
      <c r="X22" s="127"/>
      <c r="Y22" s="127"/>
      <c r="Z22" s="127"/>
      <c r="AA22" s="129" t="str">
        <f>IFERROR(IF(AND(T21="Probabilidad",T22="Probabilidad"),(AC21-(+AC21*W22)),IF(AND(T21="Impacto",T22="Probabilidad"),(AC20-(+AC20*W22)),IF(T22="Impacto",AC21,""))),"")</f>
        <v/>
      </c>
      <c r="AB22" s="130" t="str">
        <f t="shared" si="4"/>
        <v/>
      </c>
      <c r="AC22" s="131" t="str">
        <f t="shared" si="1"/>
        <v/>
      </c>
      <c r="AD22" s="130" t="str">
        <f t="shared" si="5"/>
        <v/>
      </c>
      <c r="AE22" s="138" t="str">
        <f>IFERROR(IF(AND(T21="Impacto",T22="Impacto"),(AE21-(+AE21*W22)),IF(AND(T21="Probabilidad",T22="Impacto"),(AE20-(+AE20*W22)),IF(T22="Probabilidad",AE21,""))),"")</f>
        <v/>
      </c>
      <c r="AF22" s="132" t="str">
        <f t="shared" si="2"/>
        <v/>
      </c>
      <c r="AG22" s="133"/>
      <c r="AH22" s="134"/>
      <c r="AI22" s="135"/>
      <c r="AJ22" s="136"/>
      <c r="AK22" s="136"/>
      <c r="AL22" s="134"/>
      <c r="AM22" s="135"/>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row>
    <row r="23" spans="1:71" ht="68.45" customHeight="1" x14ac:dyDescent="0.25">
      <c r="A23" s="216">
        <v>3</v>
      </c>
      <c r="B23" s="207" t="s">
        <v>185</v>
      </c>
      <c r="C23" s="207" t="s">
        <v>309</v>
      </c>
      <c r="D23" s="207" t="s">
        <v>116</v>
      </c>
      <c r="E23" s="139" t="s">
        <v>310</v>
      </c>
      <c r="F23" s="207" t="s">
        <v>311</v>
      </c>
      <c r="G23" s="219" t="s">
        <v>194</v>
      </c>
      <c r="H23" s="219" t="s">
        <v>312</v>
      </c>
      <c r="I23" s="207" t="s">
        <v>214</v>
      </c>
      <c r="J23" s="210">
        <v>150</v>
      </c>
      <c r="K23" s="213" t="str">
        <f>IF(J23&lt;=0,"",IF(J23&lt;=2,"Muy Baja",IF(J23&lt;=24,"Baja",IF(J23&lt;=500,"Media",IF(J23&lt;=5000,"Alta","Muy Alta")))))</f>
        <v>Media</v>
      </c>
      <c r="L23" s="225">
        <f>IF(K23="","",IF(K23="Muy Baja",0.2,IF(K23="Baja",0.4,IF(K23="Media",0.6,IF(K23="Alta",0.8,IF(K23="Muy Alta",1,))))))</f>
        <v>0.6</v>
      </c>
      <c r="M23" s="228" t="s">
        <v>137</v>
      </c>
      <c r="N23" s="225" t="str">
        <f ca="1">IF(NOT(ISERROR(MATCH(M23,'Tabla Impacto'!$B$221:$B$223,0))),'Tabla Impacto'!$F$223&amp;"Por favor no seleccionar los criterios de impacto(Afectación Económica o presupuestal y Pérdida Reputacional)",M23)</f>
        <v xml:space="preserve">     El riesgo afecta la imagen de la entidad con algunos usuarios de relevancia frente al logro de los objetivos</v>
      </c>
      <c r="O23" s="213" t="str">
        <f ca="1">IF(OR(N23='Tabla Impacto'!$C$11,N23='Tabla Impacto'!$D$11),"Leve",IF(OR(N23='Tabla Impacto'!$C$12,N23='Tabla Impacto'!$D$12),"Menor",IF(OR(N23='Tabla Impacto'!$C$13,N23='Tabla Impacto'!$D$13),"Moderado",IF(OR(N23='Tabla Impacto'!$C$14,N23='Tabla Impacto'!$D$14),"Mayor",IF(OR(N23='Tabla Impacto'!$C$15,N23='Tabla Impacto'!$D$15),"Catastrófico","")))))</f>
        <v>Moderado</v>
      </c>
      <c r="P23" s="225">
        <f ca="1">IF(O23="","",IF(O23="Leve",0.2,IF(O23="Menor",0.4,IF(O23="Moderado",0.6,IF(O23="Mayor",0.8,IF(O23="Catastrófico",1,))))))</f>
        <v>0.6</v>
      </c>
      <c r="Q23" s="222" t="str">
        <f ca="1">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Moderado</v>
      </c>
      <c r="R23" s="124">
        <v>1</v>
      </c>
      <c r="S23" s="125" t="s">
        <v>308</v>
      </c>
      <c r="T23" s="126" t="str">
        <f t="shared" si="3"/>
        <v>Probabilidad</v>
      </c>
      <c r="U23" s="127" t="s">
        <v>13</v>
      </c>
      <c r="V23" s="127" t="s">
        <v>8</v>
      </c>
      <c r="W23" s="128" t="str">
        <f t="shared" si="0"/>
        <v>40%</v>
      </c>
      <c r="X23" s="127" t="s">
        <v>18</v>
      </c>
      <c r="Y23" s="127" t="s">
        <v>21</v>
      </c>
      <c r="Z23" s="127" t="s">
        <v>111</v>
      </c>
      <c r="AA23" s="129">
        <f>IFERROR(IF(T23="Probabilidad",(L23-(+L23*W23)),IF(T23="Impacto",L23,"")),"")</f>
        <v>0.36</v>
      </c>
      <c r="AB23" s="130" t="str">
        <f>IFERROR(IF(AA23="","",IF(AA23&lt;=0.2,"Muy Baja",IF(AA23&lt;=0.4,"Baja",IF(AA23&lt;=0.6,"Media",IF(AA23&lt;=0.8,"Alta","Muy Alta"))))),"")</f>
        <v>Baja</v>
      </c>
      <c r="AC23" s="131">
        <f t="shared" si="1"/>
        <v>0.36</v>
      </c>
      <c r="AD23" s="130" t="str">
        <f ca="1">IFERROR(IF(AE23="","",IF(AE23&lt;=0.2,"Leve",IF(AE23&lt;=0.4,"Menor",IF(AE23&lt;=0.6,"Moderado",IF(AE23&lt;=0.8,"Mayor","Catastrófico"))))),"")</f>
        <v>Moderado</v>
      </c>
      <c r="AE23" s="138">
        <f ca="1">IFERROR(IF(T23="Impacto",(P23-(+P23*W23)),IF(T23="Probabilidad",P23,"")),"")</f>
        <v>0.6</v>
      </c>
      <c r="AF23" s="132" t="str">
        <f t="shared" ca="1" si="2"/>
        <v>Moderado</v>
      </c>
      <c r="AG23" s="133" t="s">
        <v>30</v>
      </c>
      <c r="AH23" s="134"/>
      <c r="AI23" s="135"/>
      <c r="AJ23" s="136"/>
      <c r="AK23" s="136"/>
      <c r="AL23" s="134"/>
      <c r="AM23" s="135"/>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row>
    <row r="24" spans="1:71" ht="68.45" customHeight="1" x14ac:dyDescent="0.25">
      <c r="A24" s="217"/>
      <c r="B24" s="208"/>
      <c r="C24" s="208"/>
      <c r="D24" s="208"/>
      <c r="E24" s="140"/>
      <c r="F24" s="208"/>
      <c r="G24" s="220"/>
      <c r="H24" s="220"/>
      <c r="I24" s="208"/>
      <c r="J24" s="211"/>
      <c r="K24" s="214"/>
      <c r="L24" s="226"/>
      <c r="M24" s="229"/>
      <c r="N24" s="226">
        <f ca="1">IF(NOT(ISERROR(MATCH(M24,_xlfn.ANCHORARRAY(H35),0))),L37&amp;"Por favor no seleccionar los criterios de impacto",M24)</f>
        <v>0</v>
      </c>
      <c r="O24" s="214"/>
      <c r="P24" s="226"/>
      <c r="Q24" s="223"/>
      <c r="R24" s="124">
        <v>2</v>
      </c>
      <c r="S24" s="125" t="s">
        <v>337</v>
      </c>
      <c r="T24" s="126" t="str">
        <f t="shared" si="3"/>
        <v>Probabilidad</v>
      </c>
      <c r="U24" s="127" t="s">
        <v>13</v>
      </c>
      <c r="V24" s="127" t="s">
        <v>8</v>
      </c>
      <c r="W24" s="128" t="str">
        <f t="shared" si="0"/>
        <v>40%</v>
      </c>
      <c r="X24" s="127" t="s">
        <v>18</v>
      </c>
      <c r="Y24" s="127" t="s">
        <v>21</v>
      </c>
      <c r="Z24" s="127" t="s">
        <v>111</v>
      </c>
      <c r="AA24" s="151">
        <f>IFERROR(IF(AND(T23="Probabilidad",T24="Probabilidad"),(AC23-(+AC23*W24)),IF(T24="Probabilidad",(L23-(+L23*W24)),IF(T24="Impacto",AC23,""))),"")</f>
        <v>0.216</v>
      </c>
      <c r="AB24" s="130" t="str">
        <f t="shared" si="4"/>
        <v>Baja</v>
      </c>
      <c r="AC24" s="131">
        <f t="shared" si="1"/>
        <v>0.216</v>
      </c>
      <c r="AD24" s="130" t="str">
        <f t="shared" ca="1" si="5"/>
        <v>Moderado</v>
      </c>
      <c r="AE24" s="138">
        <f ca="1">IFERROR(IF(AND(T23="Impacto",T24="Impacto"),(AE23-(+AE23*W24)),IF(T24="Impacto",(P23-(+P23*W24)),IF(T24="Probabilidad",AE23,""))),"")</f>
        <v>0.6</v>
      </c>
      <c r="AF24" s="132" t="str">
        <f t="shared" ca="1" si="2"/>
        <v>Moderado</v>
      </c>
      <c r="AG24" s="133" t="s">
        <v>30</v>
      </c>
      <c r="AH24" s="134"/>
      <c r="AI24" s="135"/>
      <c r="AJ24" s="136"/>
      <c r="AK24" s="136"/>
      <c r="AL24" s="134"/>
      <c r="AM24" s="135"/>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row>
    <row r="25" spans="1:71" ht="68.45" customHeight="1" x14ac:dyDescent="0.25">
      <c r="A25" s="217"/>
      <c r="B25" s="208"/>
      <c r="C25" s="208"/>
      <c r="D25" s="208"/>
      <c r="E25" s="140"/>
      <c r="F25" s="208"/>
      <c r="G25" s="220"/>
      <c r="H25" s="220"/>
      <c r="I25" s="208"/>
      <c r="J25" s="211"/>
      <c r="K25" s="214"/>
      <c r="L25" s="226"/>
      <c r="M25" s="229"/>
      <c r="N25" s="226">
        <f ca="1">IF(NOT(ISERROR(MATCH(M25,_xlfn.ANCHORARRAY(H36),0))),L38&amp;"Por favor no seleccionar los criterios de impacto",M25)</f>
        <v>0</v>
      </c>
      <c r="O25" s="214"/>
      <c r="P25" s="226"/>
      <c r="Q25" s="223"/>
      <c r="R25" s="124">
        <v>3</v>
      </c>
      <c r="S25" s="137"/>
      <c r="T25" s="126" t="str">
        <f t="shared" si="3"/>
        <v/>
      </c>
      <c r="U25" s="127"/>
      <c r="V25" s="127"/>
      <c r="W25" s="128" t="str">
        <f t="shared" si="0"/>
        <v/>
      </c>
      <c r="X25" s="127"/>
      <c r="Y25" s="127"/>
      <c r="Z25" s="127"/>
      <c r="AA25" s="129" t="str">
        <f>IFERROR(IF(AND(T24="Probabilidad",T25="Probabilidad"),(AC24-(+AC24*W25)),IF(AND(T24="Impacto",T25="Probabilidad"),(AC23-(+AC23*W25)),IF(T25="Impacto",AC24,""))),"")</f>
        <v/>
      </c>
      <c r="AB25" s="130" t="str">
        <f t="shared" si="4"/>
        <v/>
      </c>
      <c r="AC25" s="131" t="str">
        <f t="shared" si="1"/>
        <v/>
      </c>
      <c r="AD25" s="130" t="str">
        <f t="shared" si="5"/>
        <v/>
      </c>
      <c r="AE25" s="138" t="str">
        <f>IFERROR(IF(AND(T24="Impacto",T25="Impacto"),(AE24-(+AE24*W25)),IF(AND(T24="Probabilidad",T25="Impacto"),(AE23-(+AE23*W25)),IF(T25="Probabilidad",AE24,""))),"")</f>
        <v/>
      </c>
      <c r="AF25" s="132" t="str">
        <f t="shared" si="2"/>
        <v/>
      </c>
      <c r="AG25" s="133"/>
      <c r="AH25" s="134"/>
      <c r="AI25" s="135"/>
      <c r="AJ25" s="136"/>
      <c r="AK25" s="136"/>
      <c r="AL25" s="134"/>
      <c r="AM25" s="135"/>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row>
    <row r="26" spans="1:71" ht="68.45" customHeight="1" x14ac:dyDescent="0.25">
      <c r="A26" s="217"/>
      <c r="B26" s="208"/>
      <c r="C26" s="208"/>
      <c r="D26" s="208"/>
      <c r="E26" s="140"/>
      <c r="F26" s="208"/>
      <c r="G26" s="220"/>
      <c r="H26" s="220"/>
      <c r="I26" s="208"/>
      <c r="J26" s="211"/>
      <c r="K26" s="214"/>
      <c r="L26" s="226"/>
      <c r="M26" s="229"/>
      <c r="N26" s="226">
        <f ca="1">IF(NOT(ISERROR(MATCH(M26,_xlfn.ANCHORARRAY(H37),0))),L39&amp;"Por favor no seleccionar los criterios de impacto",M26)</f>
        <v>0</v>
      </c>
      <c r="O26" s="214"/>
      <c r="P26" s="226"/>
      <c r="Q26" s="223"/>
      <c r="R26" s="124">
        <v>4</v>
      </c>
      <c r="S26" s="125"/>
      <c r="T26" s="126" t="str">
        <f t="shared" si="3"/>
        <v/>
      </c>
      <c r="U26" s="127"/>
      <c r="V26" s="127"/>
      <c r="W26" s="128" t="str">
        <f t="shared" si="0"/>
        <v/>
      </c>
      <c r="X26" s="127"/>
      <c r="Y26" s="127"/>
      <c r="Z26" s="127"/>
      <c r="AA26" s="129" t="str">
        <f>IFERROR(IF(AND(T25="Probabilidad",T26="Probabilidad"),(AC25-(+AC25*W26)),IF(AND(T25="Impacto",T26="Probabilidad"),(AC24-(+AC24*W26)),IF(T26="Impacto",AC25,""))),"")</f>
        <v/>
      </c>
      <c r="AB26" s="130" t="str">
        <f t="shared" si="4"/>
        <v/>
      </c>
      <c r="AC26" s="131" t="str">
        <f t="shared" si="1"/>
        <v/>
      </c>
      <c r="AD26" s="130" t="str">
        <f t="shared" si="5"/>
        <v/>
      </c>
      <c r="AE26" s="138" t="str">
        <f>IFERROR(IF(AND(T25="Impacto",T26="Impacto"),(AE25-(+AE25*W26)),IF(AND(T25="Probabilidad",T26="Impacto"),(AE24-(+AE24*W26)),IF(T26="Probabilidad",AE25,""))),"")</f>
        <v/>
      </c>
      <c r="AF26" s="132" t="str">
        <f t="shared" si="2"/>
        <v/>
      </c>
      <c r="AG26" s="133"/>
      <c r="AH26" s="134"/>
      <c r="AI26" s="135"/>
      <c r="AJ26" s="136"/>
      <c r="AK26" s="136"/>
      <c r="AL26" s="134"/>
      <c r="AM26" s="135"/>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row>
    <row r="27" spans="1:71" ht="68.45" customHeight="1" x14ac:dyDescent="0.25">
      <c r="A27" s="217"/>
      <c r="B27" s="208"/>
      <c r="C27" s="208"/>
      <c r="D27" s="208"/>
      <c r="E27" s="140"/>
      <c r="F27" s="208"/>
      <c r="G27" s="220"/>
      <c r="H27" s="220"/>
      <c r="I27" s="208"/>
      <c r="J27" s="211"/>
      <c r="K27" s="214"/>
      <c r="L27" s="226"/>
      <c r="M27" s="229"/>
      <c r="N27" s="226">
        <f ca="1">IF(NOT(ISERROR(MATCH(M27,_xlfn.ANCHORARRAY(H38),0))),L40&amp;"Por favor no seleccionar los criterios de impacto",M27)</f>
        <v>0</v>
      </c>
      <c r="O27" s="214"/>
      <c r="P27" s="226"/>
      <c r="Q27" s="223"/>
      <c r="R27" s="124">
        <v>5</v>
      </c>
      <c r="S27" s="125"/>
      <c r="T27" s="126" t="str">
        <f t="shared" si="3"/>
        <v/>
      </c>
      <c r="U27" s="127"/>
      <c r="V27" s="127"/>
      <c r="W27" s="128" t="str">
        <f t="shared" si="0"/>
        <v/>
      </c>
      <c r="X27" s="127"/>
      <c r="Y27" s="127"/>
      <c r="Z27" s="127"/>
      <c r="AA27" s="129" t="str">
        <f>IFERROR(IF(AND(T26="Probabilidad",T27="Probabilidad"),(AC26-(+AC26*W27)),IF(AND(T26="Impacto",T27="Probabilidad"),(AC25-(+AC25*W27)),IF(T27="Impacto",AC26,""))),"")</f>
        <v/>
      </c>
      <c r="AB27" s="130" t="str">
        <f t="shared" si="4"/>
        <v/>
      </c>
      <c r="AC27" s="131" t="str">
        <f t="shared" si="1"/>
        <v/>
      </c>
      <c r="AD27" s="130" t="str">
        <f t="shared" si="5"/>
        <v/>
      </c>
      <c r="AE27" s="138" t="str">
        <f>IFERROR(IF(AND(T26="Impacto",T27="Impacto"),(AE26-(+AE26*W27)),IF(AND(T26="Probabilidad",T27="Impacto"),(AE25-(+AE25*W27)),IF(T27="Probabilidad",AE26,""))),"")</f>
        <v/>
      </c>
      <c r="AF27" s="132" t="str">
        <f t="shared" si="2"/>
        <v/>
      </c>
      <c r="AG27" s="133"/>
      <c r="AH27" s="134"/>
      <c r="AI27" s="135"/>
      <c r="AJ27" s="136"/>
      <c r="AK27" s="136"/>
      <c r="AL27" s="134"/>
      <c r="AM27" s="135"/>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row>
    <row r="28" spans="1:71" ht="68.45" customHeight="1" x14ac:dyDescent="0.25">
      <c r="A28" s="218"/>
      <c r="B28" s="209"/>
      <c r="C28" s="209"/>
      <c r="D28" s="209"/>
      <c r="E28" s="141"/>
      <c r="F28" s="209"/>
      <c r="G28" s="221"/>
      <c r="H28" s="221"/>
      <c r="I28" s="209"/>
      <c r="J28" s="212"/>
      <c r="K28" s="215"/>
      <c r="L28" s="227"/>
      <c r="M28" s="230"/>
      <c r="N28" s="227">
        <f ca="1">IF(NOT(ISERROR(MATCH(M28,_xlfn.ANCHORARRAY(H39),0))),L41&amp;"Por favor no seleccionar los criterios de impacto",M28)</f>
        <v>0</v>
      </c>
      <c r="O28" s="215"/>
      <c r="P28" s="227"/>
      <c r="Q28" s="224"/>
      <c r="R28" s="124">
        <v>6</v>
      </c>
      <c r="S28" s="125"/>
      <c r="T28" s="126" t="str">
        <f t="shared" si="3"/>
        <v/>
      </c>
      <c r="U28" s="127"/>
      <c r="V28" s="127"/>
      <c r="W28" s="128" t="str">
        <f t="shared" si="0"/>
        <v/>
      </c>
      <c r="X28" s="127"/>
      <c r="Y28" s="127"/>
      <c r="Z28" s="127"/>
      <c r="AA28" s="129" t="str">
        <f>IFERROR(IF(AND(T27="Probabilidad",T28="Probabilidad"),(AC27-(+AC27*W28)),IF(AND(T27="Impacto",T28="Probabilidad"),(AC26-(+AC26*W28)),IF(T28="Impacto",AC27,""))),"")</f>
        <v/>
      </c>
      <c r="AB28" s="130" t="str">
        <f t="shared" si="4"/>
        <v/>
      </c>
      <c r="AC28" s="131" t="str">
        <f t="shared" si="1"/>
        <v/>
      </c>
      <c r="AD28" s="130" t="str">
        <f t="shared" si="5"/>
        <v/>
      </c>
      <c r="AE28" s="138" t="str">
        <f>IFERROR(IF(AND(T27="Impacto",T28="Impacto"),(AE27-(+AE27*W28)),IF(AND(T27="Probabilidad",T28="Impacto"),(AE26-(+AE26*W28)),IF(T28="Probabilidad",AE27,""))),"")</f>
        <v/>
      </c>
      <c r="AF28" s="132" t="str">
        <f t="shared" si="2"/>
        <v/>
      </c>
      <c r="AG28" s="133"/>
      <c r="AH28" s="134"/>
      <c r="AI28" s="135"/>
      <c r="AJ28" s="136"/>
      <c r="AK28" s="136"/>
      <c r="AL28" s="134"/>
      <c r="AM28" s="135"/>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row>
    <row r="29" spans="1:71" ht="68.45" customHeight="1" x14ac:dyDescent="0.25">
      <c r="A29" s="216">
        <v>4</v>
      </c>
      <c r="B29" s="207" t="s">
        <v>187</v>
      </c>
      <c r="C29" s="207" t="s">
        <v>313</v>
      </c>
      <c r="D29" s="207" t="s">
        <v>116</v>
      </c>
      <c r="E29" s="139" t="s">
        <v>314</v>
      </c>
      <c r="F29" s="207" t="s">
        <v>338</v>
      </c>
      <c r="G29" s="219" t="s">
        <v>194</v>
      </c>
      <c r="H29" s="219" t="s">
        <v>339</v>
      </c>
      <c r="I29" s="207" t="s">
        <v>216</v>
      </c>
      <c r="J29" s="210">
        <v>150</v>
      </c>
      <c r="K29" s="213" t="str">
        <f>IF(J29&lt;=0,"",IF(J29&lt;=2,"Muy Baja",IF(J29&lt;=24,"Baja",IF(J29&lt;=500,"Media",IF(J29&lt;=5000,"Alta","Muy Alta")))))</f>
        <v>Media</v>
      </c>
      <c r="L29" s="225">
        <f>IF(K29="","",IF(K29="Muy Baja",0.2,IF(K29="Baja",0.4,IF(K29="Media",0.6,IF(K29="Alta",0.8,IF(K29="Muy Alta",1,))))))</f>
        <v>0.6</v>
      </c>
      <c r="M29" s="228" t="s">
        <v>137</v>
      </c>
      <c r="N29" s="225" t="str">
        <f ca="1">IF(NOT(ISERROR(MATCH(M29,'Tabla Impacto'!$B$221:$B$223,0))),'Tabla Impacto'!$F$223&amp;"Por favor no seleccionar los criterios de impacto(Afectación Económica o presupuestal y Pérdida Reputacional)",M29)</f>
        <v xml:space="preserve">     El riesgo afecta la imagen de la entidad con algunos usuarios de relevancia frente al logro de los objetivos</v>
      </c>
      <c r="O29" s="213" t="str">
        <f ca="1">IF(OR(N29='Tabla Impacto'!$C$11,N29='Tabla Impacto'!$D$11),"Leve",IF(OR(N29='Tabla Impacto'!$C$12,N29='Tabla Impacto'!$D$12),"Menor",IF(OR(N29='Tabla Impacto'!$C$13,N29='Tabla Impacto'!$D$13),"Moderado",IF(OR(N29='Tabla Impacto'!$C$14,N29='Tabla Impacto'!$D$14),"Mayor",IF(OR(N29='Tabla Impacto'!$C$15,N29='Tabla Impacto'!$D$15),"Catastrófico","")))))</f>
        <v>Moderado</v>
      </c>
      <c r="P29" s="225">
        <f ca="1">IF(O29="","",IF(O29="Leve",0.2,IF(O29="Menor",0.4,IF(O29="Moderado",0.6,IF(O29="Mayor",0.8,IF(O29="Catastrófico",1,))))))</f>
        <v>0.6</v>
      </c>
      <c r="Q29" s="222" t="str">
        <f ca="1">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Moderado</v>
      </c>
      <c r="R29" s="124">
        <v>1</v>
      </c>
      <c r="S29" s="125" t="s">
        <v>340</v>
      </c>
      <c r="T29" s="126" t="str">
        <f t="shared" si="3"/>
        <v>Probabilidad</v>
      </c>
      <c r="U29" s="127" t="s">
        <v>14</v>
      </c>
      <c r="V29" s="127" t="s">
        <v>8</v>
      </c>
      <c r="W29" s="128" t="str">
        <f t="shared" si="0"/>
        <v>30%</v>
      </c>
      <c r="X29" s="127" t="s">
        <v>19</v>
      </c>
      <c r="Y29" s="127" t="s">
        <v>21</v>
      </c>
      <c r="Z29" s="127" t="s">
        <v>111</v>
      </c>
      <c r="AA29" s="129">
        <f>IFERROR(IF(T29="Probabilidad",(L29-(+L29*W29)),IF(T29="Impacto",L29,"")),"")</f>
        <v>0.42</v>
      </c>
      <c r="AB29" s="130" t="str">
        <f>IFERROR(IF(AA29="","",IF(AA29&lt;=0.2,"Muy Baja",IF(AA29&lt;=0.4,"Baja",IF(AA29&lt;=0.6,"Media",IF(AA29&lt;=0.8,"Alta","Muy Alta"))))),"")</f>
        <v>Media</v>
      </c>
      <c r="AC29" s="131">
        <f t="shared" si="1"/>
        <v>0.42</v>
      </c>
      <c r="AD29" s="130" t="str">
        <f ca="1">IFERROR(IF(AE29="","",IF(AE29&lt;=0.2,"Leve",IF(AE29&lt;=0.4,"Menor",IF(AE29&lt;=0.6,"Moderado",IF(AE29&lt;=0.8,"Mayor","Catastrófico"))))),"")</f>
        <v>Moderado</v>
      </c>
      <c r="AE29" s="138">
        <f ca="1">IFERROR(IF(T29="Impacto",(P29-(+P29*W29)),IF(T29="Probabilidad",P29,"")),"")</f>
        <v>0.6</v>
      </c>
      <c r="AF29" s="132" t="str">
        <f t="shared" ca="1" si="2"/>
        <v>Moderado</v>
      </c>
      <c r="AG29" s="133" t="s">
        <v>30</v>
      </c>
      <c r="AH29" s="134"/>
      <c r="AI29" s="135"/>
      <c r="AJ29" s="136"/>
      <c r="AK29" s="136"/>
      <c r="AL29" s="134"/>
      <c r="AM29" s="135"/>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row>
    <row r="30" spans="1:71" ht="68.45" customHeight="1" x14ac:dyDescent="0.25">
      <c r="A30" s="217"/>
      <c r="B30" s="208"/>
      <c r="C30" s="208"/>
      <c r="D30" s="208"/>
      <c r="E30" s="140" t="s">
        <v>315</v>
      </c>
      <c r="F30" s="208"/>
      <c r="G30" s="220"/>
      <c r="H30" s="220"/>
      <c r="I30" s="208"/>
      <c r="J30" s="211"/>
      <c r="K30" s="214"/>
      <c r="L30" s="226"/>
      <c r="M30" s="229"/>
      <c r="N30" s="226">
        <f ca="1">IF(NOT(ISERROR(MATCH(M30,_xlfn.ANCHORARRAY(H41),0))),L43&amp;"Por favor no seleccionar los criterios de impacto",M30)</f>
        <v>0</v>
      </c>
      <c r="O30" s="214"/>
      <c r="P30" s="226"/>
      <c r="Q30" s="223"/>
      <c r="R30" s="124">
        <v>2</v>
      </c>
      <c r="S30" s="125"/>
      <c r="T30" s="126" t="str">
        <f t="shared" si="3"/>
        <v/>
      </c>
      <c r="U30" s="127"/>
      <c r="V30" s="127"/>
      <c r="W30" s="128" t="str">
        <f t="shared" si="0"/>
        <v/>
      </c>
      <c r="X30" s="127"/>
      <c r="Y30" s="127"/>
      <c r="Z30" s="127"/>
      <c r="AA30" s="129" t="str">
        <f>IFERROR(IF(AND(T29="Probabilidad",T30="Probabilidad"),(AC29-(+AC29*W30)),IF(T30="Probabilidad",(L29-(+L29*W30)),IF(T30="Impacto",AC29,""))),"")</f>
        <v/>
      </c>
      <c r="AB30" s="130" t="str">
        <f t="shared" si="4"/>
        <v/>
      </c>
      <c r="AC30" s="131" t="str">
        <f t="shared" si="1"/>
        <v/>
      </c>
      <c r="AD30" s="130" t="str">
        <f t="shared" si="5"/>
        <v/>
      </c>
      <c r="AE30" s="138" t="str">
        <f>IFERROR(IF(AND(T29="Impacto",T30="Impacto"),(AE29-(+AE29*W30)),IF(T30="Impacto",(P29-(+P29*W30)),IF(T30="Probabilidad",AE29,""))),"")</f>
        <v/>
      </c>
      <c r="AF30" s="132" t="str">
        <f t="shared" si="2"/>
        <v/>
      </c>
      <c r="AG30" s="133"/>
      <c r="AH30" s="134"/>
      <c r="AI30" s="135"/>
      <c r="AJ30" s="136"/>
      <c r="AK30" s="136"/>
      <c r="AL30" s="134"/>
      <c r="AM30" s="135"/>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row>
    <row r="31" spans="1:71" ht="68.45" customHeight="1" x14ac:dyDescent="0.25">
      <c r="A31" s="217"/>
      <c r="B31" s="208"/>
      <c r="C31" s="208"/>
      <c r="D31" s="208"/>
      <c r="E31" s="140"/>
      <c r="F31" s="208"/>
      <c r="G31" s="220"/>
      <c r="H31" s="220"/>
      <c r="I31" s="208"/>
      <c r="J31" s="211"/>
      <c r="K31" s="214"/>
      <c r="L31" s="226"/>
      <c r="M31" s="229"/>
      <c r="N31" s="226">
        <f ca="1">IF(NOT(ISERROR(MATCH(M31,_xlfn.ANCHORARRAY(H42),0))),L44&amp;"Por favor no seleccionar los criterios de impacto",M31)</f>
        <v>0</v>
      </c>
      <c r="O31" s="214"/>
      <c r="P31" s="226"/>
      <c r="Q31" s="223"/>
      <c r="R31" s="124">
        <v>3</v>
      </c>
      <c r="S31" s="137"/>
      <c r="T31" s="126" t="str">
        <f t="shared" si="3"/>
        <v/>
      </c>
      <c r="U31" s="127"/>
      <c r="V31" s="127"/>
      <c r="W31" s="128" t="str">
        <f t="shared" si="0"/>
        <v/>
      </c>
      <c r="X31" s="127"/>
      <c r="Y31" s="127"/>
      <c r="Z31" s="127"/>
      <c r="AA31" s="129" t="str">
        <f>IFERROR(IF(AND(T30="Probabilidad",T31="Probabilidad"),(AC30-(+AC30*W31)),IF(AND(T30="Impacto",T31="Probabilidad"),(AC29-(+AC29*W31)),IF(T31="Impacto",AC30,""))),"")</f>
        <v/>
      </c>
      <c r="AB31" s="130" t="str">
        <f t="shared" si="4"/>
        <v/>
      </c>
      <c r="AC31" s="131" t="str">
        <f t="shared" si="1"/>
        <v/>
      </c>
      <c r="AD31" s="130" t="str">
        <f t="shared" si="5"/>
        <v/>
      </c>
      <c r="AE31" s="138" t="str">
        <f>IFERROR(IF(AND(T30="Impacto",T31="Impacto"),(AE30-(+AE30*W31)),IF(AND(T30="Probabilidad",T31="Impacto"),(AE29-(+AE29*W31)),IF(T31="Probabilidad",AE30,""))),"")</f>
        <v/>
      </c>
      <c r="AF31" s="132" t="str">
        <f t="shared" si="2"/>
        <v/>
      </c>
      <c r="AG31" s="133"/>
      <c r="AH31" s="134"/>
      <c r="AI31" s="135"/>
      <c r="AJ31" s="136"/>
      <c r="AK31" s="136"/>
      <c r="AL31" s="134"/>
      <c r="AM31" s="135"/>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1" ht="68.45" customHeight="1" x14ac:dyDescent="0.25">
      <c r="A32" s="217"/>
      <c r="B32" s="208"/>
      <c r="C32" s="208"/>
      <c r="D32" s="208"/>
      <c r="E32" s="140"/>
      <c r="F32" s="208"/>
      <c r="G32" s="220"/>
      <c r="H32" s="220"/>
      <c r="I32" s="208"/>
      <c r="J32" s="211"/>
      <c r="K32" s="214"/>
      <c r="L32" s="226"/>
      <c r="M32" s="229"/>
      <c r="N32" s="226">
        <f ca="1">IF(NOT(ISERROR(MATCH(M32,_xlfn.ANCHORARRAY(H43),0))),L45&amp;"Por favor no seleccionar los criterios de impacto",M32)</f>
        <v>0</v>
      </c>
      <c r="O32" s="214"/>
      <c r="P32" s="226"/>
      <c r="Q32" s="223"/>
      <c r="R32" s="124">
        <v>4</v>
      </c>
      <c r="S32" s="125"/>
      <c r="T32" s="126" t="str">
        <f t="shared" si="3"/>
        <v/>
      </c>
      <c r="U32" s="127"/>
      <c r="V32" s="127"/>
      <c r="W32" s="128" t="str">
        <f t="shared" si="0"/>
        <v/>
      </c>
      <c r="X32" s="127"/>
      <c r="Y32" s="127"/>
      <c r="Z32" s="127"/>
      <c r="AA32" s="129" t="str">
        <f>IFERROR(IF(AND(T31="Probabilidad",T32="Probabilidad"),(AC31-(+AC31*W32)),IF(AND(T31="Impacto",T32="Probabilidad"),(AC30-(+AC30*W32)),IF(T32="Impacto",AC31,""))),"")</f>
        <v/>
      </c>
      <c r="AB32" s="130" t="str">
        <f t="shared" si="4"/>
        <v/>
      </c>
      <c r="AC32" s="131" t="str">
        <f t="shared" si="1"/>
        <v/>
      </c>
      <c r="AD32" s="130" t="str">
        <f t="shared" si="5"/>
        <v/>
      </c>
      <c r="AE32" s="138" t="str">
        <f>IFERROR(IF(AND(T31="Impacto",T32="Impacto"),(AE31-(+AE31*W32)),IF(AND(T31="Probabilidad",T32="Impacto"),(AE30-(+AE30*W32)),IF(T32="Probabilidad",AE31,""))),"")</f>
        <v/>
      </c>
      <c r="AF32" s="132" t="str">
        <f t="shared" si="2"/>
        <v/>
      </c>
      <c r="AG32" s="133"/>
      <c r="AH32" s="134"/>
      <c r="AI32" s="135"/>
      <c r="AJ32" s="136"/>
      <c r="AK32" s="136"/>
      <c r="AL32" s="134"/>
      <c r="AM32" s="135"/>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row>
    <row r="33" spans="1:71" ht="68.45" customHeight="1" x14ac:dyDescent="0.25">
      <c r="A33" s="217"/>
      <c r="B33" s="208"/>
      <c r="C33" s="208"/>
      <c r="D33" s="208"/>
      <c r="E33" s="140"/>
      <c r="F33" s="208"/>
      <c r="G33" s="220"/>
      <c r="H33" s="220"/>
      <c r="I33" s="208"/>
      <c r="J33" s="211"/>
      <c r="K33" s="214"/>
      <c r="L33" s="226"/>
      <c r="M33" s="229"/>
      <c r="N33" s="226">
        <f ca="1">IF(NOT(ISERROR(MATCH(M33,_xlfn.ANCHORARRAY(H44),0))),L46&amp;"Por favor no seleccionar los criterios de impacto",M33)</f>
        <v>0</v>
      </c>
      <c r="O33" s="214"/>
      <c r="P33" s="226"/>
      <c r="Q33" s="223"/>
      <c r="R33" s="124">
        <v>5</v>
      </c>
      <c r="S33" s="125"/>
      <c r="T33" s="126" t="str">
        <f t="shared" si="3"/>
        <v/>
      </c>
      <c r="U33" s="127"/>
      <c r="V33" s="127"/>
      <c r="W33" s="128" t="str">
        <f t="shared" si="0"/>
        <v/>
      </c>
      <c r="X33" s="127"/>
      <c r="Y33" s="127"/>
      <c r="Z33" s="127"/>
      <c r="AA33" s="151" t="str">
        <f>IFERROR(IF(AND(T32="Probabilidad",T33="Probabilidad"),(AC32-(+AC32*W33)),IF(AND(T32="Impacto",T33="Probabilidad"),(AC31-(+AC31*W33)),IF(T33="Impacto",AC32,""))),"")</f>
        <v/>
      </c>
      <c r="AB33" s="130" t="str">
        <f>IFERROR(IF(AA33="","",IF(AA33&lt;=0.2,"Muy Baja",IF(AA33&lt;=0.4,"Baja",IF(AA33&lt;=0.6,"Media",IF(AA33&lt;=0.8,"Alta","Muy Alta"))))),"")</f>
        <v/>
      </c>
      <c r="AC33" s="131" t="str">
        <f t="shared" si="1"/>
        <v/>
      </c>
      <c r="AD33" s="130" t="str">
        <f t="shared" si="5"/>
        <v/>
      </c>
      <c r="AE33" s="138" t="str">
        <f>IFERROR(IF(AND(T32="Impacto",T33="Impacto"),(AE32-(+AE32*W33)),IF(AND(T32="Probabilidad",T33="Impacto"),(AE31-(+AE31*W33)),IF(T33="Probabilidad",AE32,""))),"")</f>
        <v/>
      </c>
      <c r="AF33" s="132" t="str">
        <f t="shared" si="2"/>
        <v/>
      </c>
      <c r="AG33" s="133"/>
      <c r="AH33" s="134"/>
      <c r="AI33" s="135"/>
      <c r="AJ33" s="136"/>
      <c r="AK33" s="136"/>
      <c r="AL33" s="134"/>
      <c r="AM33" s="135"/>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row>
    <row r="34" spans="1:71" ht="68.45" customHeight="1" x14ac:dyDescent="0.25">
      <c r="A34" s="218"/>
      <c r="B34" s="209"/>
      <c r="C34" s="209"/>
      <c r="D34" s="209"/>
      <c r="E34" s="141"/>
      <c r="F34" s="209"/>
      <c r="G34" s="221"/>
      <c r="H34" s="221"/>
      <c r="I34" s="209"/>
      <c r="J34" s="212"/>
      <c r="K34" s="215"/>
      <c r="L34" s="227"/>
      <c r="M34" s="230"/>
      <c r="N34" s="227">
        <f ca="1">IF(NOT(ISERROR(MATCH(M34,_xlfn.ANCHORARRAY(H45),0))),L47&amp;"Por favor no seleccionar los criterios de impacto",M34)</f>
        <v>0</v>
      </c>
      <c r="O34" s="215"/>
      <c r="P34" s="227"/>
      <c r="Q34" s="224"/>
      <c r="R34" s="124">
        <v>6</v>
      </c>
      <c r="S34" s="125"/>
      <c r="T34" s="126" t="str">
        <f t="shared" si="3"/>
        <v/>
      </c>
      <c r="U34" s="127"/>
      <c r="V34" s="127"/>
      <c r="W34" s="128" t="str">
        <f t="shared" si="0"/>
        <v/>
      </c>
      <c r="X34" s="127"/>
      <c r="Y34" s="127"/>
      <c r="Z34" s="127"/>
      <c r="AA34" s="129" t="str">
        <f>IFERROR(IF(AND(T33="Probabilidad",T34="Probabilidad"),(AC33-(+AC33*W34)),IF(AND(T33="Impacto",T34="Probabilidad"),(AC32-(+AC32*W34)),IF(T34="Impacto",AC33,""))),"")</f>
        <v/>
      </c>
      <c r="AB34" s="130" t="str">
        <f t="shared" si="4"/>
        <v/>
      </c>
      <c r="AC34" s="131" t="str">
        <f t="shared" si="1"/>
        <v/>
      </c>
      <c r="AD34" s="130" t="str">
        <f t="shared" si="5"/>
        <v/>
      </c>
      <c r="AE34" s="138" t="str">
        <f>IFERROR(IF(AND(T33="Impacto",T34="Impacto"),(AE33-(+AE33*W34)),IF(AND(T33="Probabilidad",T34="Impacto"),(AE32-(+AE32*W34)),IF(T34="Probabilidad",AE33,""))),"")</f>
        <v/>
      </c>
      <c r="AF34" s="132" t="str">
        <f t="shared" si="2"/>
        <v/>
      </c>
      <c r="AG34" s="133"/>
      <c r="AH34" s="134"/>
      <c r="AI34" s="135"/>
      <c r="AJ34" s="136"/>
      <c r="AK34" s="136"/>
      <c r="AL34" s="134"/>
      <c r="AM34" s="135"/>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row>
    <row r="35" spans="1:71" ht="68.45" customHeight="1" x14ac:dyDescent="0.25">
      <c r="A35" s="216">
        <v>5</v>
      </c>
      <c r="B35" s="207" t="s">
        <v>188</v>
      </c>
      <c r="C35" s="207" t="s">
        <v>316</v>
      </c>
      <c r="D35" s="207" t="s">
        <v>116</v>
      </c>
      <c r="E35" s="139" t="s">
        <v>317</v>
      </c>
      <c r="F35" s="207" t="s">
        <v>341</v>
      </c>
      <c r="G35" s="219" t="s">
        <v>194</v>
      </c>
      <c r="H35" s="219" t="s">
        <v>320</v>
      </c>
      <c r="I35" s="207" t="s">
        <v>211</v>
      </c>
      <c r="J35" s="210">
        <v>150</v>
      </c>
      <c r="K35" s="213" t="str">
        <f>IF(J35&lt;=0,"",IF(J35&lt;=2,"Muy Baja",IF(J35&lt;=24,"Baja",IF(J35&lt;=500,"Media",IF(J35&lt;=5000,"Alta","Muy Alta")))))</f>
        <v>Media</v>
      </c>
      <c r="L35" s="225">
        <f>IF(K35="","",IF(K35="Muy Baja",0.2,IF(K35="Baja",0.4,IF(K35="Media",0.6,IF(K35="Alta",0.8,IF(K35="Muy Alta",1,))))))</f>
        <v>0.6</v>
      </c>
      <c r="M35" s="228" t="s">
        <v>137</v>
      </c>
      <c r="N35" s="225" t="str">
        <f ca="1">IF(NOT(ISERROR(MATCH(M35,'Tabla Impacto'!$B$221:$B$223,0))),'Tabla Impacto'!$F$223&amp;"Por favor no seleccionar los criterios de impacto(Afectación Económica o presupuestal y Pérdida Reputacional)",M35)</f>
        <v xml:space="preserve">     El riesgo afecta la imagen de la entidad con algunos usuarios de relevancia frente al logro de los objetivos</v>
      </c>
      <c r="O35" s="213" t="str">
        <f ca="1">IF(OR(N35='Tabla Impacto'!$C$11,N35='Tabla Impacto'!$D$11),"Leve",IF(OR(N35='Tabla Impacto'!$C$12,N35='Tabla Impacto'!$D$12),"Menor",IF(OR(N35='Tabla Impacto'!$C$13,N35='Tabla Impacto'!$D$13),"Moderado",IF(OR(N35='Tabla Impacto'!$C$14,N35='Tabla Impacto'!$D$14),"Mayor",IF(OR(N35='Tabla Impacto'!$C$15,N35='Tabla Impacto'!$D$15),"Catastrófico","")))))</f>
        <v>Moderado</v>
      </c>
      <c r="P35" s="225">
        <f ca="1">IF(O35="","",IF(O35="Leve",0.2,IF(O35="Menor",0.4,IF(O35="Moderado",0.6,IF(O35="Mayor",0.8,IF(O35="Catastrófico",1,))))))</f>
        <v>0.6</v>
      </c>
      <c r="Q35" s="222" t="str">
        <f ca="1">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Moderado</v>
      </c>
      <c r="R35" s="124">
        <v>1</v>
      </c>
      <c r="S35" s="426" t="s">
        <v>342</v>
      </c>
      <c r="T35" s="126" t="str">
        <f t="shared" si="3"/>
        <v>Probabilidad</v>
      </c>
      <c r="U35" s="127" t="s">
        <v>13</v>
      </c>
      <c r="V35" s="127" t="s">
        <v>8</v>
      </c>
      <c r="W35" s="128" t="str">
        <f t="shared" si="0"/>
        <v>40%</v>
      </c>
      <c r="X35" s="127" t="s">
        <v>19</v>
      </c>
      <c r="Y35" s="127" t="s">
        <v>21</v>
      </c>
      <c r="Z35" s="127" t="s">
        <v>111</v>
      </c>
      <c r="AA35" s="129">
        <f>IFERROR(IF(T35="Probabilidad",(L35-(+L35*W35)),IF(T35="Impacto",L35,"")),"")</f>
        <v>0.36</v>
      </c>
      <c r="AB35" s="130" t="str">
        <f>IFERROR(IF(AA35="","",IF(AA35&lt;=0.2,"Muy Baja",IF(AA35&lt;=0.4,"Baja",IF(AA35&lt;=0.6,"Media",IF(AA35&lt;=0.8,"Alta","Muy Alta"))))),"")</f>
        <v>Baja</v>
      </c>
      <c r="AC35" s="131">
        <f t="shared" si="1"/>
        <v>0.36</v>
      </c>
      <c r="AD35" s="130" t="str">
        <f ca="1">IFERROR(IF(AE35="","",IF(AE35&lt;=0.2,"Leve",IF(AE35&lt;=0.4,"Menor",IF(AE35&lt;=0.6,"Moderado",IF(AE35&lt;=0.8,"Mayor","Catastrófico"))))),"")</f>
        <v>Moderado</v>
      </c>
      <c r="AE35" s="138">
        <f ca="1">IFERROR(IF(T35="Impacto",(P35-(+P35*W35)),IF(T35="Probabilidad",P35,"")),"")</f>
        <v>0.6</v>
      </c>
      <c r="AF35" s="132" t="str">
        <f t="shared" ca="1" si="2"/>
        <v>Moderado</v>
      </c>
      <c r="AG35" s="133" t="s">
        <v>30</v>
      </c>
      <c r="AH35" s="134"/>
      <c r="AI35" s="135"/>
      <c r="AJ35" s="136"/>
      <c r="AK35" s="136"/>
      <c r="AL35" s="134"/>
      <c r="AM35" s="135"/>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row>
    <row r="36" spans="1:71" ht="68.45" customHeight="1" x14ac:dyDescent="0.25">
      <c r="A36" s="217"/>
      <c r="B36" s="208"/>
      <c r="C36" s="208"/>
      <c r="D36" s="208"/>
      <c r="E36" s="140" t="s">
        <v>318</v>
      </c>
      <c r="F36" s="208"/>
      <c r="G36" s="220"/>
      <c r="H36" s="220"/>
      <c r="I36" s="208"/>
      <c r="J36" s="211"/>
      <c r="K36" s="214"/>
      <c r="L36" s="226"/>
      <c r="M36" s="229"/>
      <c r="N36" s="226">
        <f ca="1">IF(NOT(ISERROR(MATCH(M36,_xlfn.ANCHORARRAY(H47),0))),L49&amp;"Por favor no seleccionar los criterios de impacto",M36)</f>
        <v>0</v>
      </c>
      <c r="O36" s="214"/>
      <c r="P36" s="226"/>
      <c r="Q36" s="223"/>
      <c r="R36" s="124">
        <v>2</v>
      </c>
      <c r="S36" s="426"/>
      <c r="T36" s="126" t="str">
        <f t="shared" si="3"/>
        <v/>
      </c>
      <c r="U36" s="127"/>
      <c r="V36" s="127"/>
      <c r="W36" s="128" t="str">
        <f t="shared" si="0"/>
        <v/>
      </c>
      <c r="X36" s="127"/>
      <c r="Y36" s="127"/>
      <c r="Z36" s="127"/>
      <c r="AA36" s="129" t="str">
        <f>IFERROR(IF(AND(T35="Probabilidad",T36="Probabilidad"),(AC35-(+AC35*W36)),IF(T36="Probabilidad",(L35-(+L35*W36)),IF(T36="Impacto",AC35,""))),"")</f>
        <v/>
      </c>
      <c r="AB36" s="130" t="str">
        <f t="shared" si="4"/>
        <v/>
      </c>
      <c r="AC36" s="131" t="str">
        <f t="shared" si="1"/>
        <v/>
      </c>
      <c r="AD36" s="130" t="str">
        <f t="shared" si="5"/>
        <v/>
      </c>
      <c r="AE36" s="138" t="str">
        <f>IFERROR(IF(AND(T35="Impacto",T36="Impacto"),(AE35-(+AE35*W36)),IF(T36="Impacto",(P35-(+P35*W36)),IF(T36="Probabilidad",AE35,""))),"")</f>
        <v/>
      </c>
      <c r="AF36" s="132" t="str">
        <f t="shared" si="2"/>
        <v/>
      </c>
      <c r="AG36" s="133"/>
      <c r="AH36" s="134"/>
      <c r="AI36" s="135"/>
      <c r="AJ36" s="136"/>
      <c r="AK36" s="136"/>
      <c r="AL36" s="134"/>
      <c r="AM36" s="135"/>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row>
    <row r="37" spans="1:71" ht="68.45" customHeight="1" x14ac:dyDescent="0.25">
      <c r="A37" s="217"/>
      <c r="B37" s="208"/>
      <c r="C37" s="208"/>
      <c r="D37" s="208"/>
      <c r="E37" s="140" t="s">
        <v>319</v>
      </c>
      <c r="F37" s="208"/>
      <c r="G37" s="220"/>
      <c r="H37" s="220"/>
      <c r="I37" s="208"/>
      <c r="J37" s="211"/>
      <c r="K37" s="214"/>
      <c r="L37" s="226"/>
      <c r="M37" s="229"/>
      <c r="N37" s="226">
        <f ca="1">IF(NOT(ISERROR(MATCH(M37,_xlfn.ANCHORARRAY(H48),0))),L50&amp;"Por favor no seleccionar los criterios de impacto",M37)</f>
        <v>0</v>
      </c>
      <c r="O37" s="214"/>
      <c r="P37" s="226"/>
      <c r="Q37" s="223"/>
      <c r="R37" s="124">
        <v>3</v>
      </c>
      <c r="S37" s="427"/>
      <c r="T37" s="126" t="str">
        <f t="shared" si="3"/>
        <v/>
      </c>
      <c r="U37" s="127"/>
      <c r="V37" s="127"/>
      <c r="W37" s="128" t="str">
        <f t="shared" si="0"/>
        <v/>
      </c>
      <c r="X37" s="127"/>
      <c r="Y37" s="127"/>
      <c r="Z37" s="127"/>
      <c r="AA37" s="129" t="str">
        <f>IFERROR(IF(AND(T36="Probabilidad",T37="Probabilidad"),(AC36-(+AC36*W37)),IF(AND(T36="Impacto",T37="Probabilidad"),(AC35-(+AC35*W37)),IF(T37="Impacto",AC36,""))),"")</f>
        <v/>
      </c>
      <c r="AB37" s="130" t="str">
        <f t="shared" si="4"/>
        <v/>
      </c>
      <c r="AC37" s="131" t="str">
        <f t="shared" si="1"/>
        <v/>
      </c>
      <c r="AD37" s="130" t="str">
        <f t="shared" si="5"/>
        <v/>
      </c>
      <c r="AE37" s="138" t="str">
        <f>IFERROR(IF(AND(T36="Impacto",T37="Impacto"),(AE36-(+AE36*W37)),IF(AND(T36="Probabilidad",T37="Impacto"),(AE35-(+AE35*W37)),IF(T37="Probabilidad",AE36,""))),"")</f>
        <v/>
      </c>
      <c r="AF37" s="132" t="str">
        <f t="shared" si="2"/>
        <v/>
      </c>
      <c r="AG37" s="133"/>
      <c r="AH37" s="134"/>
      <c r="AI37" s="135"/>
      <c r="AJ37" s="136"/>
      <c r="AK37" s="136"/>
      <c r="AL37" s="134"/>
      <c r="AM37" s="135"/>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row>
    <row r="38" spans="1:71" ht="68.45" customHeight="1" x14ac:dyDescent="0.25">
      <c r="A38" s="217"/>
      <c r="B38" s="208"/>
      <c r="C38" s="208"/>
      <c r="D38" s="208"/>
      <c r="E38" s="140"/>
      <c r="F38" s="208"/>
      <c r="G38" s="220"/>
      <c r="H38" s="220"/>
      <c r="I38" s="208"/>
      <c r="J38" s="211"/>
      <c r="K38" s="214"/>
      <c r="L38" s="226"/>
      <c r="M38" s="229"/>
      <c r="N38" s="226">
        <f ca="1">IF(NOT(ISERROR(MATCH(M38,_xlfn.ANCHORARRAY(H49),0))),L51&amp;"Por favor no seleccionar los criterios de impacto",M38)</f>
        <v>0</v>
      </c>
      <c r="O38" s="214"/>
      <c r="P38" s="226"/>
      <c r="Q38" s="223"/>
      <c r="R38" s="124">
        <v>4</v>
      </c>
      <c r="S38" s="125"/>
      <c r="T38" s="126" t="str">
        <f t="shared" si="3"/>
        <v/>
      </c>
      <c r="U38" s="127"/>
      <c r="V38" s="127"/>
      <c r="W38" s="128" t="str">
        <f t="shared" si="0"/>
        <v/>
      </c>
      <c r="X38" s="127"/>
      <c r="Y38" s="127"/>
      <c r="Z38" s="127"/>
      <c r="AA38" s="129" t="str">
        <f>IFERROR(IF(AND(T37="Probabilidad",T38="Probabilidad"),(AC37-(+AC37*W38)),IF(AND(T37="Impacto",T38="Probabilidad"),(AC36-(+AC36*W38)),IF(T38="Impacto",AC37,""))),"")</f>
        <v/>
      </c>
      <c r="AB38" s="130" t="str">
        <f t="shared" si="4"/>
        <v/>
      </c>
      <c r="AC38" s="131" t="str">
        <f t="shared" si="1"/>
        <v/>
      </c>
      <c r="AD38" s="130" t="str">
        <f t="shared" si="5"/>
        <v/>
      </c>
      <c r="AE38" s="138" t="str">
        <f>IFERROR(IF(AND(T37="Impacto",T38="Impacto"),(AE37-(+AE37*W38)),IF(AND(T37="Probabilidad",T38="Impacto"),(AE36-(+AE36*W38)),IF(T38="Probabilidad",AE37,""))),"")</f>
        <v/>
      </c>
      <c r="AF38" s="132" t="str">
        <f t="shared" si="2"/>
        <v/>
      </c>
      <c r="AG38" s="133"/>
      <c r="AH38" s="134"/>
      <c r="AI38" s="135"/>
      <c r="AJ38" s="136"/>
      <c r="AK38" s="136"/>
      <c r="AL38" s="134"/>
      <c r="AM38" s="135"/>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row>
    <row r="39" spans="1:71" ht="68.45" customHeight="1" x14ac:dyDescent="0.25">
      <c r="A39" s="217"/>
      <c r="B39" s="208"/>
      <c r="C39" s="208"/>
      <c r="D39" s="208"/>
      <c r="E39" s="140"/>
      <c r="F39" s="208"/>
      <c r="G39" s="220"/>
      <c r="H39" s="220"/>
      <c r="I39" s="208"/>
      <c r="J39" s="211"/>
      <c r="K39" s="214"/>
      <c r="L39" s="226"/>
      <c r="M39" s="229"/>
      <c r="N39" s="226">
        <f ca="1">IF(NOT(ISERROR(MATCH(M39,_xlfn.ANCHORARRAY(H50),0))),L52&amp;"Por favor no seleccionar los criterios de impacto",M39)</f>
        <v>0</v>
      </c>
      <c r="O39" s="214"/>
      <c r="P39" s="226"/>
      <c r="Q39" s="223"/>
      <c r="R39" s="124">
        <v>5</v>
      </c>
      <c r="S39" s="125"/>
      <c r="T39" s="126" t="str">
        <f t="shared" si="3"/>
        <v/>
      </c>
      <c r="U39" s="127"/>
      <c r="V39" s="127"/>
      <c r="W39" s="128" t="str">
        <f t="shared" si="0"/>
        <v/>
      </c>
      <c r="X39" s="127"/>
      <c r="Y39" s="127"/>
      <c r="Z39" s="127"/>
      <c r="AA39" s="129" t="str">
        <f>IFERROR(IF(AND(T38="Probabilidad",T39="Probabilidad"),(AC38-(+AC38*W39)),IF(AND(T38="Impacto",T39="Probabilidad"),(AC37-(+AC37*W39)),IF(T39="Impacto",AC38,""))),"")</f>
        <v/>
      </c>
      <c r="AB39" s="130" t="str">
        <f t="shared" si="4"/>
        <v/>
      </c>
      <c r="AC39" s="131" t="str">
        <f t="shared" si="1"/>
        <v/>
      </c>
      <c r="AD39" s="130" t="str">
        <f t="shared" si="5"/>
        <v/>
      </c>
      <c r="AE39" s="138" t="str">
        <f>IFERROR(IF(AND(T38="Impacto",T39="Impacto"),(AE38-(+AE38*W39)),IF(AND(T38="Probabilidad",T39="Impacto"),(AE37-(+AE37*W39)),IF(T39="Probabilidad",AE38,""))),"")</f>
        <v/>
      </c>
      <c r="AF39" s="132" t="str">
        <f t="shared" si="2"/>
        <v/>
      </c>
      <c r="AG39" s="133"/>
      <c r="AH39" s="134"/>
      <c r="AI39" s="135"/>
      <c r="AJ39" s="136"/>
      <c r="AK39" s="136"/>
      <c r="AL39" s="134"/>
      <c r="AM39" s="135"/>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row>
    <row r="40" spans="1:71" ht="68.45" customHeight="1" x14ac:dyDescent="0.25">
      <c r="A40" s="218"/>
      <c r="B40" s="209"/>
      <c r="C40" s="209"/>
      <c r="D40" s="209"/>
      <c r="E40" s="141"/>
      <c r="F40" s="209"/>
      <c r="G40" s="221"/>
      <c r="H40" s="221"/>
      <c r="I40" s="209"/>
      <c r="J40" s="212"/>
      <c r="K40" s="215"/>
      <c r="L40" s="227"/>
      <c r="M40" s="230"/>
      <c r="N40" s="227">
        <f ca="1">IF(NOT(ISERROR(MATCH(M40,_xlfn.ANCHORARRAY(H51),0))),L53&amp;"Por favor no seleccionar los criterios de impacto",M40)</f>
        <v>0</v>
      </c>
      <c r="O40" s="215"/>
      <c r="P40" s="227"/>
      <c r="Q40" s="224"/>
      <c r="R40" s="124">
        <v>6</v>
      </c>
      <c r="S40" s="125"/>
      <c r="T40" s="126" t="str">
        <f t="shared" si="3"/>
        <v/>
      </c>
      <c r="U40" s="127"/>
      <c r="V40" s="127"/>
      <c r="W40" s="128" t="str">
        <f t="shared" si="0"/>
        <v/>
      </c>
      <c r="X40" s="127"/>
      <c r="Y40" s="127"/>
      <c r="Z40" s="127"/>
      <c r="AA40" s="129" t="str">
        <f>IFERROR(IF(AND(T39="Probabilidad",T40="Probabilidad"),(AC39-(+AC39*W40)),IF(AND(T39="Impacto",T40="Probabilidad"),(AC38-(+AC38*W40)),IF(T40="Impacto",AC39,""))),"")</f>
        <v/>
      </c>
      <c r="AB40" s="130" t="str">
        <f t="shared" si="4"/>
        <v/>
      </c>
      <c r="AC40" s="131" t="str">
        <f t="shared" si="1"/>
        <v/>
      </c>
      <c r="AD40" s="130" t="str">
        <f t="shared" si="5"/>
        <v/>
      </c>
      <c r="AE40" s="138" t="str">
        <f>IFERROR(IF(AND(T39="Impacto",T40="Impacto"),(AE39-(+AE39*W40)),IF(AND(T39="Probabilidad",T40="Impacto"),(AE38-(+AE38*W40)),IF(T40="Probabilidad",AE39,""))),"")</f>
        <v/>
      </c>
      <c r="AF40" s="132" t="str">
        <f t="shared" si="2"/>
        <v/>
      </c>
      <c r="AG40" s="133"/>
      <c r="AH40" s="134"/>
      <c r="AI40" s="135"/>
      <c r="AJ40" s="136"/>
      <c r="AK40" s="136"/>
      <c r="AL40" s="134"/>
      <c r="AM40" s="135"/>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68.45" customHeight="1" x14ac:dyDescent="0.25">
      <c r="A41" s="216">
        <v>6</v>
      </c>
      <c r="B41" s="207" t="s">
        <v>186</v>
      </c>
      <c r="C41" s="207" t="s">
        <v>321</v>
      </c>
      <c r="D41" s="207" t="s">
        <v>116</v>
      </c>
      <c r="E41" s="140" t="s">
        <v>323</v>
      </c>
      <c r="F41" s="207" t="s">
        <v>322</v>
      </c>
      <c r="G41" s="219" t="s">
        <v>193</v>
      </c>
      <c r="H41" s="219" t="s">
        <v>324</v>
      </c>
      <c r="I41" s="207" t="s">
        <v>216</v>
      </c>
      <c r="J41" s="210">
        <v>150</v>
      </c>
      <c r="K41" s="213" t="str">
        <f>IF(J41&lt;=0,"",IF(J41&lt;=2,"Muy Baja",IF(J41&lt;=24,"Baja",IF(J41&lt;=500,"Media",IF(J41&lt;=5000,"Alta","Muy Alta")))))</f>
        <v>Media</v>
      </c>
      <c r="L41" s="225">
        <f>IF(K41="","",IF(K41="Muy Baja",0.2,IF(K41="Baja",0.4,IF(K41="Media",0.6,IF(K41="Alta",0.8,IF(K41="Muy Alta",1,))))))</f>
        <v>0.6</v>
      </c>
      <c r="M41" s="228" t="s">
        <v>137</v>
      </c>
      <c r="N41" s="225" t="str">
        <f ca="1">IF(NOT(ISERROR(MATCH(M41,'Tabla Impacto'!$B$221:$B$223,0))),'Tabla Impacto'!$F$223&amp;"Por favor no seleccionar los criterios de impacto(Afectación Económica o presupuestal y Pérdida Reputacional)",M41)</f>
        <v xml:space="preserve">     El riesgo afecta la imagen de la entidad con algunos usuarios de relevancia frente al logro de los objetivos</v>
      </c>
      <c r="O41" s="213" t="str">
        <f ca="1">IF(OR(N41='Tabla Impacto'!$C$11,N41='Tabla Impacto'!$D$11),"Leve",IF(OR(N41='Tabla Impacto'!$C$12,N41='Tabla Impacto'!$D$12),"Menor",IF(OR(N41='Tabla Impacto'!$C$13,N41='Tabla Impacto'!$D$13),"Moderado",IF(OR(N41='Tabla Impacto'!$C$14,N41='Tabla Impacto'!$D$14),"Mayor",IF(OR(N41='Tabla Impacto'!$C$15,N41='Tabla Impacto'!$D$15),"Catastrófico","")))))</f>
        <v>Moderado</v>
      </c>
      <c r="P41" s="225">
        <f ca="1">IF(O41="","",IF(O41="Leve",0.2,IF(O41="Menor",0.4,IF(O41="Moderado",0.6,IF(O41="Mayor",0.8,IF(O41="Catastrófico",1,))))))</f>
        <v>0.6</v>
      </c>
      <c r="Q41" s="222" t="str">
        <f ca="1">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Moderado</v>
      </c>
      <c r="R41" s="124">
        <v>1</v>
      </c>
      <c r="S41" s="125" t="s">
        <v>308</v>
      </c>
      <c r="T41" s="126" t="str">
        <f t="shared" si="3"/>
        <v>Probabilidad</v>
      </c>
      <c r="U41" s="127" t="s">
        <v>14</v>
      </c>
      <c r="V41" s="127" t="s">
        <v>8</v>
      </c>
      <c r="W41" s="128" t="str">
        <f t="shared" si="0"/>
        <v>30%</v>
      </c>
      <c r="X41" s="127" t="s">
        <v>18</v>
      </c>
      <c r="Y41" s="127" t="s">
        <v>21</v>
      </c>
      <c r="Z41" s="127" t="s">
        <v>111</v>
      </c>
      <c r="AA41" s="129">
        <f>IFERROR(IF(T41="Probabilidad",(L41-(+L41*W41)),IF(T41="Impacto",L41,"")),"")</f>
        <v>0.42</v>
      </c>
      <c r="AB41" s="130" t="str">
        <f>IFERROR(IF(AA41="","",IF(AA41&lt;=0.2,"Muy Baja",IF(AA41&lt;=0.4,"Baja",IF(AA41&lt;=0.6,"Media",IF(AA41&lt;=0.8,"Alta","Muy Alta"))))),"")</f>
        <v>Media</v>
      </c>
      <c r="AC41" s="131">
        <f t="shared" si="1"/>
        <v>0.42</v>
      </c>
      <c r="AD41" s="130" t="str">
        <f ca="1">IFERROR(IF(AE41="","",IF(AE41&lt;=0.2,"Leve",IF(AE41&lt;=0.4,"Menor",IF(AE41&lt;=0.6,"Moderado",IF(AE41&lt;=0.8,"Mayor","Catastrófico"))))),"")</f>
        <v>Moderado</v>
      </c>
      <c r="AE41" s="138">
        <f ca="1">IFERROR(IF(T41="Impacto",(P41-(+P41*W41)),IF(T41="Probabilidad",P41,"")),"")</f>
        <v>0.6</v>
      </c>
      <c r="AF41" s="132" t="str">
        <f t="shared" ca="1" si="2"/>
        <v>Moderado</v>
      </c>
      <c r="AG41" s="133" t="s">
        <v>30</v>
      </c>
      <c r="AH41" s="134"/>
      <c r="AI41" s="135"/>
      <c r="AJ41" s="136"/>
      <c r="AK41" s="136"/>
      <c r="AL41" s="134"/>
      <c r="AM41" s="135"/>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row>
    <row r="42" spans="1:71" ht="68.45" customHeight="1" x14ac:dyDescent="0.25">
      <c r="A42" s="217"/>
      <c r="B42" s="208"/>
      <c r="C42" s="208"/>
      <c r="D42" s="208"/>
      <c r="E42" s="140" t="s">
        <v>304</v>
      </c>
      <c r="F42" s="208"/>
      <c r="G42" s="220"/>
      <c r="H42" s="220"/>
      <c r="I42" s="208"/>
      <c r="J42" s="211"/>
      <c r="K42" s="214"/>
      <c r="L42" s="226"/>
      <c r="M42" s="229"/>
      <c r="N42" s="226">
        <f ca="1">IF(NOT(ISERROR(MATCH(M42,_xlfn.ANCHORARRAY(H53),0))),L55&amp;"Por favor no seleccionar los criterios de impacto",M42)</f>
        <v>0</v>
      </c>
      <c r="O42" s="214"/>
      <c r="P42" s="226"/>
      <c r="Q42" s="223"/>
      <c r="R42" s="124">
        <v>2</v>
      </c>
      <c r="S42" s="125"/>
      <c r="T42" s="126" t="str">
        <f t="shared" si="3"/>
        <v/>
      </c>
      <c r="U42" s="127"/>
      <c r="V42" s="127"/>
      <c r="W42" s="128" t="str">
        <f t="shared" si="0"/>
        <v/>
      </c>
      <c r="X42" s="127"/>
      <c r="Y42" s="127"/>
      <c r="Z42" s="127"/>
      <c r="AA42" s="129" t="str">
        <f>IFERROR(IF(AND(T41="Probabilidad",T42="Probabilidad"),(AC41-(+AC41*W42)),IF(T42="Probabilidad",(L41-(+L41*W42)),IF(T42="Impacto",AC41,""))),"")</f>
        <v/>
      </c>
      <c r="AB42" s="130" t="str">
        <f t="shared" si="4"/>
        <v/>
      </c>
      <c r="AC42" s="131" t="str">
        <f t="shared" si="1"/>
        <v/>
      </c>
      <c r="AD42" s="130" t="str">
        <f t="shared" si="5"/>
        <v/>
      </c>
      <c r="AE42" s="138" t="str">
        <f>IFERROR(IF(AND(T41="Impacto",T42="Impacto"),(AE41-(+AE41*W42)),IF(T42="Impacto",(P41-(+P41*W42)),IF(T42="Probabilidad",AE41,""))),"")</f>
        <v/>
      </c>
      <c r="AF42" s="132" t="str">
        <f t="shared" si="2"/>
        <v/>
      </c>
      <c r="AG42" s="133"/>
      <c r="AH42" s="134"/>
      <c r="AI42" s="135"/>
      <c r="AJ42" s="136"/>
      <c r="AK42" s="136"/>
      <c r="AL42" s="134"/>
      <c r="AM42" s="135"/>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row>
    <row r="43" spans="1:71" ht="68.45" customHeight="1" x14ac:dyDescent="0.25">
      <c r="A43" s="217"/>
      <c r="B43" s="208"/>
      <c r="C43" s="208"/>
      <c r="D43" s="208"/>
      <c r="F43" s="208"/>
      <c r="G43" s="220"/>
      <c r="H43" s="220"/>
      <c r="I43" s="208"/>
      <c r="J43" s="211"/>
      <c r="K43" s="214"/>
      <c r="L43" s="226"/>
      <c r="M43" s="229"/>
      <c r="N43" s="226">
        <f ca="1">IF(NOT(ISERROR(MATCH(M43,_xlfn.ANCHORARRAY(H54),0))),L56&amp;"Por favor no seleccionar los criterios de impacto",M43)</f>
        <v>0</v>
      </c>
      <c r="O43" s="214"/>
      <c r="P43" s="226"/>
      <c r="Q43" s="223"/>
      <c r="R43" s="124">
        <v>3</v>
      </c>
      <c r="S43" s="137"/>
      <c r="T43" s="126" t="str">
        <f t="shared" si="3"/>
        <v/>
      </c>
      <c r="U43" s="127"/>
      <c r="V43" s="127"/>
      <c r="W43" s="128" t="str">
        <f t="shared" ref="W43:W74" si="6">IF(AND(U43="Preventivo",V43="Automático"),"50%",IF(AND(U43="Preventivo",V43="Manual"),"40%",IF(AND(U43="Detectivo",V43="Automático"),"40%",IF(AND(U43="Detectivo",V43="Manual"),"30%",IF(AND(U43="Correctivo",V43="Automático"),"35%",IF(AND(U43="Correctivo",V43="Manual"),"25%",""))))))</f>
        <v/>
      </c>
      <c r="X43" s="127"/>
      <c r="Y43" s="127"/>
      <c r="Z43" s="127"/>
      <c r="AA43" s="129" t="str">
        <f>IFERROR(IF(AND(T42="Probabilidad",T43="Probabilidad"),(AC42-(+AC42*W43)),IF(AND(T42="Impacto",T43="Probabilidad"),(AC41-(+AC41*W43)),IF(T43="Impacto",AC42,""))),"")</f>
        <v/>
      </c>
      <c r="AB43" s="130" t="str">
        <f t="shared" si="4"/>
        <v/>
      </c>
      <c r="AC43" s="131" t="str">
        <f t="shared" ref="AC43:AC70" si="7">+AA43</f>
        <v/>
      </c>
      <c r="AD43" s="130" t="str">
        <f t="shared" si="5"/>
        <v/>
      </c>
      <c r="AE43" s="138" t="str">
        <f>IFERROR(IF(AND(T42="Impacto",T43="Impacto"),(AE42-(+AE42*W43)),IF(AND(T42="Probabilidad",T43="Impacto"),(AE41-(+AE41*W43)),IF(T43="Probabilidad",AE42,""))),"")</f>
        <v/>
      </c>
      <c r="AF43" s="132" t="str">
        <f t="shared" ref="AF43:AF70" si="8">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
      </c>
      <c r="AG43" s="133"/>
      <c r="AH43" s="134"/>
      <c r="AI43" s="135"/>
      <c r="AJ43" s="136"/>
      <c r="AK43" s="136"/>
      <c r="AL43" s="134"/>
      <c r="AM43" s="135"/>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row>
    <row r="44" spans="1:71" ht="68.45" customHeight="1" x14ac:dyDescent="0.25">
      <c r="A44" s="217"/>
      <c r="B44" s="208"/>
      <c r="C44" s="208"/>
      <c r="D44" s="208"/>
      <c r="E44" s="140"/>
      <c r="F44" s="208"/>
      <c r="G44" s="220"/>
      <c r="H44" s="220"/>
      <c r="I44" s="208"/>
      <c r="J44" s="211"/>
      <c r="K44" s="214"/>
      <c r="L44" s="226"/>
      <c r="M44" s="229"/>
      <c r="N44" s="226">
        <f ca="1">IF(NOT(ISERROR(MATCH(M44,_xlfn.ANCHORARRAY(H55),0))),L57&amp;"Por favor no seleccionar los criterios de impacto",M44)</f>
        <v>0</v>
      </c>
      <c r="O44" s="214"/>
      <c r="P44" s="226"/>
      <c r="Q44" s="223"/>
      <c r="R44" s="124">
        <v>4</v>
      </c>
      <c r="S44" s="125"/>
      <c r="T44" s="126" t="str">
        <f t="shared" si="3"/>
        <v/>
      </c>
      <c r="U44" s="127"/>
      <c r="V44" s="127"/>
      <c r="W44" s="128" t="str">
        <f t="shared" si="6"/>
        <v/>
      </c>
      <c r="X44" s="127"/>
      <c r="Y44" s="127"/>
      <c r="Z44" s="127"/>
      <c r="AA44" s="129" t="str">
        <f>IFERROR(IF(AND(T43="Probabilidad",T44="Probabilidad"),(AC43-(+AC43*W44)),IF(AND(T43="Impacto",T44="Probabilidad"),(AC42-(+AC42*W44)),IF(T44="Impacto",AC43,""))),"")</f>
        <v/>
      </c>
      <c r="AB44" s="130" t="str">
        <f t="shared" si="4"/>
        <v/>
      </c>
      <c r="AC44" s="131" t="str">
        <f t="shared" si="7"/>
        <v/>
      </c>
      <c r="AD44" s="130" t="str">
        <f t="shared" si="5"/>
        <v/>
      </c>
      <c r="AE44" s="138" t="str">
        <f>IFERROR(IF(AND(T43="Impacto",T44="Impacto"),(AE43-(+AE43*W44)),IF(AND(T43="Probabilidad",T44="Impacto"),(AE42-(+AE42*W44)),IF(T44="Probabilidad",AE43,""))),"")</f>
        <v/>
      </c>
      <c r="AF44" s="132" t="str">
        <f t="shared" si="8"/>
        <v/>
      </c>
      <c r="AG44" s="133"/>
      <c r="AH44" s="134"/>
      <c r="AI44" s="135"/>
      <c r="AJ44" s="136"/>
      <c r="AK44" s="136"/>
      <c r="AL44" s="134"/>
      <c r="AM44" s="135"/>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row>
    <row r="45" spans="1:71" ht="68.45" customHeight="1" x14ac:dyDescent="0.25">
      <c r="A45" s="217"/>
      <c r="B45" s="208"/>
      <c r="C45" s="208"/>
      <c r="D45" s="208"/>
      <c r="E45" s="140"/>
      <c r="F45" s="208"/>
      <c r="G45" s="220"/>
      <c r="H45" s="220"/>
      <c r="I45" s="208"/>
      <c r="J45" s="211"/>
      <c r="K45" s="214"/>
      <c r="L45" s="226"/>
      <c r="M45" s="229"/>
      <c r="N45" s="226">
        <f ca="1">IF(NOT(ISERROR(MATCH(M45,_xlfn.ANCHORARRAY(H56),0))),L58&amp;"Por favor no seleccionar los criterios de impacto",M45)</f>
        <v>0</v>
      </c>
      <c r="O45" s="214"/>
      <c r="P45" s="226"/>
      <c r="Q45" s="223"/>
      <c r="R45" s="124">
        <v>5</v>
      </c>
      <c r="S45" s="125"/>
      <c r="T45" s="126" t="str">
        <f t="shared" si="3"/>
        <v/>
      </c>
      <c r="U45" s="127"/>
      <c r="V45" s="127"/>
      <c r="W45" s="128" t="str">
        <f t="shared" si="6"/>
        <v/>
      </c>
      <c r="X45" s="127"/>
      <c r="Y45" s="127"/>
      <c r="Z45" s="127"/>
      <c r="AA45" s="129" t="str">
        <f>IFERROR(IF(AND(T44="Probabilidad",T45="Probabilidad"),(AC44-(+AC44*W45)),IF(AND(T44="Impacto",T45="Probabilidad"),(AC43-(+AC43*W45)),IF(T45="Impacto",AC44,""))),"")</f>
        <v/>
      </c>
      <c r="AB45" s="130" t="str">
        <f t="shared" si="4"/>
        <v/>
      </c>
      <c r="AC45" s="131" t="str">
        <f t="shared" si="7"/>
        <v/>
      </c>
      <c r="AD45" s="130" t="str">
        <f t="shared" si="5"/>
        <v/>
      </c>
      <c r="AE45" s="138" t="str">
        <f>IFERROR(IF(AND(T44="Impacto",T45="Impacto"),(AE44-(+AE44*W45)),IF(AND(T44="Probabilidad",T45="Impacto"),(AE43-(+AE43*W45)),IF(T45="Probabilidad",AE44,""))),"")</f>
        <v/>
      </c>
      <c r="AF45" s="132" t="str">
        <f t="shared" si="8"/>
        <v/>
      </c>
      <c r="AG45" s="133"/>
      <c r="AH45" s="134"/>
      <c r="AI45" s="135"/>
      <c r="AJ45" s="136"/>
      <c r="AK45" s="136"/>
      <c r="AL45" s="134"/>
      <c r="AM45" s="135"/>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row>
    <row r="46" spans="1:71" ht="68.45" customHeight="1" x14ac:dyDescent="0.25">
      <c r="A46" s="218"/>
      <c r="B46" s="209"/>
      <c r="C46" s="209"/>
      <c r="D46" s="209"/>
      <c r="E46" s="141"/>
      <c r="F46" s="209"/>
      <c r="G46" s="221"/>
      <c r="H46" s="221"/>
      <c r="I46" s="209"/>
      <c r="J46" s="212"/>
      <c r="K46" s="215"/>
      <c r="L46" s="227"/>
      <c r="M46" s="230"/>
      <c r="N46" s="227">
        <f ca="1">IF(NOT(ISERROR(MATCH(M46,_xlfn.ANCHORARRAY(H57),0))),L59&amp;"Por favor no seleccionar los criterios de impacto",M46)</f>
        <v>0</v>
      </c>
      <c r="O46" s="215"/>
      <c r="P46" s="227"/>
      <c r="Q46" s="224"/>
      <c r="R46" s="124">
        <v>6</v>
      </c>
      <c r="S46" s="125"/>
      <c r="T46" s="126" t="str">
        <f t="shared" si="3"/>
        <v/>
      </c>
      <c r="U46" s="127"/>
      <c r="V46" s="127"/>
      <c r="W46" s="128" t="str">
        <f t="shared" si="6"/>
        <v/>
      </c>
      <c r="X46" s="127"/>
      <c r="Y46" s="127"/>
      <c r="Z46" s="127"/>
      <c r="AA46" s="129" t="str">
        <f>IFERROR(IF(AND(T45="Probabilidad",T46="Probabilidad"),(AC45-(+AC45*W46)),IF(AND(T45="Impacto",T46="Probabilidad"),(AC44-(+AC44*W46)),IF(T46="Impacto",AC45,""))),"")</f>
        <v/>
      </c>
      <c r="AB46" s="130" t="str">
        <f t="shared" si="4"/>
        <v/>
      </c>
      <c r="AC46" s="131" t="str">
        <f t="shared" si="7"/>
        <v/>
      </c>
      <c r="AD46" s="130" t="str">
        <f>IFERROR(IF(AE46="","",IF(AE46&lt;=0.2,"Leve",IF(AE46&lt;=0.4,"Menor",IF(AE46&lt;=0.6,"Moderado",IF(AE46&lt;=0.8,"Mayor","Catastrófico"))))),"")</f>
        <v/>
      </c>
      <c r="AE46" s="138" t="str">
        <f>IFERROR(IF(AND(T45="Impacto",T46="Impacto"),(AE45-(+AE45*W46)),IF(AND(T45="Probabilidad",T46="Impacto"),(AE44-(+AE44*W46)),IF(T46="Probabilidad",AE45,""))),"")</f>
        <v/>
      </c>
      <c r="AF46" s="132" t="str">
        <f t="shared" si="8"/>
        <v/>
      </c>
      <c r="AG46" s="133"/>
      <c r="AH46" s="134"/>
      <c r="AI46" s="135"/>
      <c r="AJ46" s="136"/>
      <c r="AK46" s="136"/>
      <c r="AL46" s="134"/>
      <c r="AM46" s="135"/>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row>
    <row r="47" spans="1:71" ht="68.45" customHeight="1" x14ac:dyDescent="0.25">
      <c r="A47" s="216">
        <v>7</v>
      </c>
      <c r="B47" s="207" t="s">
        <v>189</v>
      </c>
      <c r="C47" s="207" t="s">
        <v>325</v>
      </c>
      <c r="D47" s="207" t="s">
        <v>116</v>
      </c>
      <c r="E47" s="139" t="s">
        <v>343</v>
      </c>
      <c r="F47" s="207" t="s">
        <v>344</v>
      </c>
      <c r="G47" s="219" t="s">
        <v>197</v>
      </c>
      <c r="H47" s="219" t="s">
        <v>345</v>
      </c>
      <c r="I47" s="207" t="s">
        <v>211</v>
      </c>
      <c r="J47" s="210">
        <v>150</v>
      </c>
      <c r="K47" s="213" t="str">
        <f>IF(J47&lt;=0,"",IF(J47&lt;=2,"Muy Baja",IF(J47&lt;=24,"Baja",IF(J47&lt;=500,"Media",IF(J47&lt;=5000,"Alta","Muy Alta")))))</f>
        <v>Media</v>
      </c>
      <c r="L47" s="225">
        <f>IF(K47="","",IF(K47="Muy Baja",0.2,IF(K47="Baja",0.4,IF(K47="Media",0.6,IF(K47="Alta",0.8,IF(K47="Muy Alta",1,))))))</f>
        <v>0.6</v>
      </c>
      <c r="M47" s="228" t="s">
        <v>137</v>
      </c>
      <c r="N47" s="225" t="str">
        <f ca="1">IF(NOT(ISERROR(MATCH(M47,'Tabla Impacto'!$B$221:$B$223,0))),'Tabla Impacto'!$F$223&amp;"Por favor no seleccionar los criterios de impacto(Afectación Económica o presupuestal y Pérdida Reputacional)",M47)</f>
        <v xml:space="preserve">     El riesgo afecta la imagen de la entidad con algunos usuarios de relevancia frente al logro de los objetivos</v>
      </c>
      <c r="O47" s="213" t="str">
        <f ca="1">IF(OR(N47='Tabla Impacto'!$C$11,N47='Tabla Impacto'!$D$11),"Leve",IF(OR(N47='Tabla Impacto'!$C$12,N47='Tabla Impacto'!$D$12),"Menor",IF(OR(N47='Tabla Impacto'!$C$13,N47='Tabla Impacto'!$D$13),"Moderado",IF(OR(N47='Tabla Impacto'!$C$14,N47='Tabla Impacto'!$D$14),"Mayor",IF(OR(N47='Tabla Impacto'!$C$15,N47='Tabla Impacto'!$D$15),"Catastrófico","")))))</f>
        <v>Moderado</v>
      </c>
      <c r="P47" s="225">
        <f ca="1">IF(O47="","",IF(O47="Leve",0.2,IF(O47="Menor",0.4,IF(O47="Moderado",0.6,IF(O47="Mayor",0.8,IF(O47="Catastrófico",1,))))))</f>
        <v>0.6</v>
      </c>
      <c r="Q47" s="222" t="str">
        <f ca="1">IF(OR(AND(K47="Muy Baja",O47="Leve"),AND(K47="Muy Baja",O47="Menor"),AND(K47="Baja",O47="Leve")),"Bajo",IF(OR(AND(K47="Muy baja",O47="Moderado"),AND(K47="Baja",O47="Menor"),AND(K47="Baja",O47="Moderado"),AND(K47="Media",O47="Leve"),AND(K47="Media",O47="Menor"),AND(K47="Media",O47="Moderado"),AND(K47="Alta",O47="Leve"),AND(K47="Alta",O47="Menor")),"Moderado",IF(OR(AND(K47="Muy Baja",O47="Mayor"),AND(K47="Baja",O47="Mayor"),AND(K47="Media",O47="Mayor"),AND(K47="Alta",O47="Moderado"),AND(K47="Alta",O47="Mayor"),AND(K47="Muy Alta",O47="Leve"),AND(K47="Muy Alta",O47="Menor"),AND(K47="Muy Alta",O47="Moderado"),AND(K47="Muy Alta",O47="Mayor")),"Alto",IF(OR(AND(K47="Muy Baja",O47="Catastrófico"),AND(K47="Baja",O47="Catastrófico"),AND(K47="Media",O47="Catastrófico"),AND(K47="Alta",O47="Catastrófico"),AND(K47="Muy Alta",O47="Catastrófico")),"Extremo",""))))</f>
        <v>Moderado</v>
      </c>
      <c r="R47" s="124">
        <v>1</v>
      </c>
      <c r="S47" s="125" t="s">
        <v>346</v>
      </c>
      <c r="T47" s="126" t="str">
        <f t="shared" si="3"/>
        <v>Probabilidad</v>
      </c>
      <c r="U47" s="127" t="s">
        <v>13</v>
      </c>
      <c r="V47" s="127" t="s">
        <v>8</v>
      </c>
      <c r="W47" s="128" t="str">
        <f t="shared" si="6"/>
        <v>40%</v>
      </c>
      <c r="X47" s="127" t="s">
        <v>19</v>
      </c>
      <c r="Y47" s="127" t="s">
        <v>21</v>
      </c>
      <c r="Z47" s="127" t="s">
        <v>111</v>
      </c>
      <c r="AA47" s="129">
        <f>IFERROR(IF(T47="Probabilidad",(L47-(+L47*W47)),IF(T47="Impacto",L47,"")),"")</f>
        <v>0.36</v>
      </c>
      <c r="AB47" s="130" t="str">
        <f>IFERROR(IF(AA47="","",IF(AA47&lt;=0.2,"Muy Baja",IF(AA47&lt;=0.4,"Baja",IF(AA47&lt;=0.6,"Media",IF(AA47&lt;=0.8,"Alta","Muy Alta"))))),"")</f>
        <v>Baja</v>
      </c>
      <c r="AC47" s="131">
        <f t="shared" si="7"/>
        <v>0.36</v>
      </c>
      <c r="AD47" s="130" t="str">
        <f ca="1">IFERROR(IF(AE47="","",IF(AE47&lt;=0.2,"Leve",IF(AE47&lt;=0.4,"Menor",IF(AE47&lt;=0.6,"Moderado",IF(AE47&lt;=0.8,"Mayor","Catastrófico"))))),"")</f>
        <v>Moderado</v>
      </c>
      <c r="AE47" s="138">
        <f ca="1">IFERROR(IF(T47="Impacto",(P47-(+P47*W47)),IF(T47="Probabilidad",P47,"")),"")</f>
        <v>0.6</v>
      </c>
      <c r="AF47" s="132" t="str">
        <f t="shared" ca="1" si="8"/>
        <v>Moderado</v>
      </c>
      <c r="AG47" s="133" t="s">
        <v>30</v>
      </c>
      <c r="AH47" s="134"/>
      <c r="AI47" s="135"/>
      <c r="AJ47" s="136"/>
      <c r="AK47" s="136"/>
      <c r="AL47" s="134"/>
      <c r="AM47" s="135"/>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row>
    <row r="48" spans="1:71" ht="68.45" customHeight="1" x14ac:dyDescent="0.25">
      <c r="A48" s="217"/>
      <c r="B48" s="208"/>
      <c r="C48" s="208"/>
      <c r="D48" s="208"/>
      <c r="E48" s="140"/>
      <c r="F48" s="208"/>
      <c r="G48" s="220"/>
      <c r="H48" s="220"/>
      <c r="I48" s="208"/>
      <c r="J48" s="211"/>
      <c r="K48" s="214"/>
      <c r="L48" s="226"/>
      <c r="M48" s="229"/>
      <c r="N48" s="226">
        <f ca="1">IF(NOT(ISERROR(MATCH(M48,_xlfn.ANCHORARRAY(H59),0))),L61&amp;"Por favor no seleccionar los criterios de impacto",M48)</f>
        <v>0</v>
      </c>
      <c r="O48" s="214"/>
      <c r="P48" s="226"/>
      <c r="Q48" s="223"/>
      <c r="R48" s="124">
        <v>2</v>
      </c>
      <c r="S48" s="125"/>
      <c r="T48" s="126" t="str">
        <f t="shared" si="3"/>
        <v/>
      </c>
      <c r="U48" s="127"/>
      <c r="V48" s="127"/>
      <c r="W48" s="128" t="str">
        <f t="shared" si="6"/>
        <v/>
      </c>
      <c r="X48" s="127"/>
      <c r="Y48" s="127"/>
      <c r="Z48" s="127"/>
      <c r="AA48" s="129" t="str">
        <f>IFERROR(IF(AND(T47="Probabilidad",T48="Probabilidad"),(AC47-(+AC47*W48)),IF(T48="Probabilidad",(L47-(+L47*W48)),IF(T48="Impacto",AC47,""))),"")</f>
        <v/>
      </c>
      <c r="AB48" s="130" t="str">
        <f t="shared" si="4"/>
        <v/>
      </c>
      <c r="AC48" s="131" t="str">
        <f t="shared" si="7"/>
        <v/>
      </c>
      <c r="AD48" s="130" t="str">
        <f t="shared" si="5"/>
        <v/>
      </c>
      <c r="AE48" s="138" t="str">
        <f>IFERROR(IF(AND(T47="Impacto",T48="Impacto"),(AE47-(+AE47*W48)),IF(T48="Impacto",(P47-(+P47*W48)),IF(T48="Probabilidad",AE47,""))),"")</f>
        <v/>
      </c>
      <c r="AF48" s="132" t="str">
        <f t="shared" si="8"/>
        <v/>
      </c>
      <c r="AG48" s="133"/>
      <c r="AH48" s="134"/>
      <c r="AI48" s="135"/>
      <c r="AJ48" s="136"/>
      <c r="AK48" s="136"/>
      <c r="AL48" s="134"/>
      <c r="AM48" s="135"/>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row>
    <row r="49" spans="1:71" ht="68.45" customHeight="1" x14ac:dyDescent="0.25">
      <c r="A49" s="217"/>
      <c r="B49" s="208"/>
      <c r="C49" s="208"/>
      <c r="D49" s="208"/>
      <c r="E49" s="140"/>
      <c r="F49" s="208"/>
      <c r="G49" s="220"/>
      <c r="H49" s="220"/>
      <c r="I49" s="208"/>
      <c r="J49" s="211"/>
      <c r="K49" s="214"/>
      <c r="L49" s="226"/>
      <c r="M49" s="229"/>
      <c r="N49" s="226">
        <f ca="1">IF(NOT(ISERROR(MATCH(M49,_xlfn.ANCHORARRAY(H60),0))),L62&amp;"Por favor no seleccionar los criterios de impacto",M49)</f>
        <v>0</v>
      </c>
      <c r="O49" s="214"/>
      <c r="P49" s="226"/>
      <c r="Q49" s="223"/>
      <c r="R49" s="124">
        <v>3</v>
      </c>
      <c r="S49" s="137"/>
      <c r="T49" s="126" t="str">
        <f t="shared" si="3"/>
        <v/>
      </c>
      <c r="U49" s="127"/>
      <c r="V49" s="127"/>
      <c r="W49" s="128" t="str">
        <f t="shared" si="6"/>
        <v/>
      </c>
      <c r="X49" s="127"/>
      <c r="Y49" s="127"/>
      <c r="Z49" s="127"/>
      <c r="AA49" s="129" t="str">
        <f>IFERROR(IF(AND(T48="Probabilidad",T49="Probabilidad"),(AC48-(+AC48*W49)),IF(AND(T48="Impacto",T49="Probabilidad"),(AC47-(+AC47*W49)),IF(T49="Impacto",AC48,""))),"")</f>
        <v/>
      </c>
      <c r="AB49" s="130" t="str">
        <f t="shared" si="4"/>
        <v/>
      </c>
      <c r="AC49" s="131" t="str">
        <f t="shared" si="7"/>
        <v/>
      </c>
      <c r="AD49" s="130" t="str">
        <f t="shared" si="5"/>
        <v/>
      </c>
      <c r="AE49" s="138" t="str">
        <f>IFERROR(IF(AND(T48="Impacto",T49="Impacto"),(AE48-(+AE48*W49)),IF(AND(T48="Probabilidad",T49="Impacto"),(AE47-(+AE47*W49)),IF(T49="Probabilidad",AE48,""))),"")</f>
        <v/>
      </c>
      <c r="AF49" s="132" t="str">
        <f t="shared" si="8"/>
        <v/>
      </c>
      <c r="AG49" s="133"/>
      <c r="AH49" s="134"/>
      <c r="AI49" s="135"/>
      <c r="AJ49" s="136"/>
      <c r="AK49" s="136"/>
      <c r="AL49" s="134"/>
      <c r="AM49" s="135"/>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68.45" customHeight="1" x14ac:dyDescent="0.25">
      <c r="A50" s="217"/>
      <c r="B50" s="208"/>
      <c r="C50" s="208"/>
      <c r="D50" s="208"/>
      <c r="E50" s="140"/>
      <c r="F50" s="208"/>
      <c r="G50" s="220"/>
      <c r="H50" s="220"/>
      <c r="I50" s="208"/>
      <c r="J50" s="211"/>
      <c r="K50" s="214"/>
      <c r="L50" s="226"/>
      <c r="M50" s="229"/>
      <c r="N50" s="226">
        <f ca="1">IF(NOT(ISERROR(MATCH(M50,_xlfn.ANCHORARRAY(H61),0))),L63&amp;"Por favor no seleccionar los criterios de impacto",M50)</f>
        <v>0</v>
      </c>
      <c r="O50" s="214"/>
      <c r="P50" s="226"/>
      <c r="Q50" s="223"/>
      <c r="R50" s="124">
        <v>4</v>
      </c>
      <c r="S50" s="125"/>
      <c r="T50" s="126" t="str">
        <f t="shared" si="3"/>
        <v/>
      </c>
      <c r="U50" s="127"/>
      <c r="V50" s="127"/>
      <c r="W50" s="128" t="str">
        <f t="shared" si="6"/>
        <v/>
      </c>
      <c r="X50" s="127"/>
      <c r="Y50" s="127"/>
      <c r="Z50" s="127"/>
      <c r="AA50" s="129" t="str">
        <f>IFERROR(IF(AND(T49="Probabilidad",T50="Probabilidad"),(AC49-(+AC49*W50)),IF(AND(T49="Impacto",T50="Probabilidad"),(AC48-(+AC48*W50)),IF(T50="Impacto",AC49,""))),"")</f>
        <v/>
      </c>
      <c r="AB50" s="130" t="str">
        <f t="shared" si="4"/>
        <v/>
      </c>
      <c r="AC50" s="131" t="str">
        <f t="shared" si="7"/>
        <v/>
      </c>
      <c r="AD50" s="130" t="str">
        <f t="shared" si="5"/>
        <v/>
      </c>
      <c r="AE50" s="138" t="str">
        <f>IFERROR(IF(AND(T49="Impacto",T50="Impacto"),(AE49-(+AE49*W50)),IF(AND(T49="Probabilidad",T50="Impacto"),(AE48-(+AE48*W50)),IF(T50="Probabilidad",AE49,""))),"")</f>
        <v/>
      </c>
      <c r="AF50" s="132" t="str">
        <f t="shared" si="8"/>
        <v/>
      </c>
      <c r="AG50" s="133"/>
      <c r="AH50" s="134"/>
      <c r="AI50" s="135"/>
      <c r="AJ50" s="136"/>
      <c r="AK50" s="136"/>
      <c r="AL50" s="134"/>
      <c r="AM50" s="135"/>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row>
    <row r="51" spans="1:71" ht="68.45" customHeight="1" x14ac:dyDescent="0.25">
      <c r="A51" s="217"/>
      <c r="B51" s="208"/>
      <c r="C51" s="208"/>
      <c r="D51" s="208"/>
      <c r="E51" s="140"/>
      <c r="F51" s="208"/>
      <c r="G51" s="220"/>
      <c r="H51" s="220"/>
      <c r="I51" s="208"/>
      <c r="J51" s="211"/>
      <c r="K51" s="214"/>
      <c r="L51" s="226"/>
      <c r="M51" s="229"/>
      <c r="N51" s="226">
        <f ca="1">IF(NOT(ISERROR(MATCH(M51,_xlfn.ANCHORARRAY(H62),0))),L64&amp;"Por favor no seleccionar los criterios de impacto",M51)</f>
        <v>0</v>
      </c>
      <c r="O51" s="214"/>
      <c r="P51" s="226"/>
      <c r="Q51" s="223"/>
      <c r="R51" s="124">
        <v>5</v>
      </c>
      <c r="S51" s="125"/>
      <c r="T51" s="126" t="str">
        <f t="shared" si="3"/>
        <v/>
      </c>
      <c r="U51" s="127"/>
      <c r="V51" s="127"/>
      <c r="W51" s="128" t="str">
        <f t="shared" si="6"/>
        <v/>
      </c>
      <c r="X51" s="127"/>
      <c r="Y51" s="127"/>
      <c r="Z51" s="127"/>
      <c r="AA51" s="129" t="str">
        <f>IFERROR(IF(AND(T50="Probabilidad",T51="Probabilidad"),(AC50-(+AC50*W51)),IF(AND(T50="Impacto",T51="Probabilidad"),(AC49-(+AC49*W51)),IF(T51="Impacto",AC50,""))),"")</f>
        <v/>
      </c>
      <c r="AB51" s="130" t="str">
        <f t="shared" si="4"/>
        <v/>
      </c>
      <c r="AC51" s="131" t="str">
        <f t="shared" si="7"/>
        <v/>
      </c>
      <c r="AD51" s="130" t="str">
        <f t="shared" si="5"/>
        <v/>
      </c>
      <c r="AE51" s="138" t="str">
        <f>IFERROR(IF(AND(T50="Impacto",T51="Impacto"),(AE50-(+AE50*W51)),IF(AND(T50="Probabilidad",T51="Impacto"),(AE49-(+AE49*W51)),IF(T51="Probabilidad",AE50,""))),"")</f>
        <v/>
      </c>
      <c r="AF51" s="132" t="str">
        <f t="shared" si="8"/>
        <v/>
      </c>
      <c r="AG51" s="133"/>
      <c r="AH51" s="134"/>
      <c r="AI51" s="135"/>
      <c r="AJ51" s="136"/>
      <c r="AK51" s="136"/>
      <c r="AL51" s="134"/>
      <c r="AM51" s="135"/>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row>
    <row r="52" spans="1:71" ht="68.45" customHeight="1" x14ac:dyDescent="0.25">
      <c r="A52" s="218"/>
      <c r="B52" s="209"/>
      <c r="C52" s="209"/>
      <c r="D52" s="209"/>
      <c r="E52" s="141"/>
      <c r="F52" s="209"/>
      <c r="G52" s="221"/>
      <c r="H52" s="221"/>
      <c r="I52" s="209"/>
      <c r="J52" s="212"/>
      <c r="K52" s="215"/>
      <c r="L52" s="227"/>
      <c r="M52" s="230"/>
      <c r="N52" s="227">
        <f ca="1">IF(NOT(ISERROR(MATCH(M52,_xlfn.ANCHORARRAY(H63),0))),L65&amp;"Por favor no seleccionar los criterios de impacto",M52)</f>
        <v>0</v>
      </c>
      <c r="O52" s="215"/>
      <c r="P52" s="227"/>
      <c r="Q52" s="224"/>
      <c r="R52" s="124">
        <v>6</v>
      </c>
      <c r="S52" s="125"/>
      <c r="T52" s="126" t="str">
        <f t="shared" si="3"/>
        <v/>
      </c>
      <c r="U52" s="127"/>
      <c r="V52" s="127"/>
      <c r="W52" s="128" t="str">
        <f t="shared" si="6"/>
        <v/>
      </c>
      <c r="X52" s="127"/>
      <c r="Y52" s="127"/>
      <c r="Z52" s="127"/>
      <c r="AA52" s="129" t="str">
        <f>IFERROR(IF(AND(T51="Probabilidad",T52="Probabilidad"),(AC51-(+AC51*W52)),IF(AND(T51="Impacto",T52="Probabilidad"),(AC50-(+AC50*W52)),IF(T52="Impacto",AC51,""))),"")</f>
        <v/>
      </c>
      <c r="AB52" s="130" t="str">
        <f t="shared" si="4"/>
        <v/>
      </c>
      <c r="AC52" s="131" t="str">
        <f t="shared" si="7"/>
        <v/>
      </c>
      <c r="AD52" s="130" t="str">
        <f t="shared" si="5"/>
        <v/>
      </c>
      <c r="AE52" s="138" t="str">
        <f>IFERROR(IF(AND(T51="Impacto",T52="Impacto"),(AE51-(+AE51*W52)),IF(AND(T51="Probabilidad",T52="Impacto"),(AE50-(+AE50*W52)),IF(T52="Probabilidad",AE51,""))),"")</f>
        <v/>
      </c>
      <c r="AF52" s="132" t="str">
        <f t="shared" si="8"/>
        <v/>
      </c>
      <c r="AG52" s="133"/>
      <c r="AH52" s="134"/>
      <c r="AI52" s="135"/>
      <c r="AJ52" s="136"/>
      <c r="AK52" s="136"/>
      <c r="AL52" s="134"/>
      <c r="AM52" s="135"/>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row>
    <row r="53" spans="1:71" ht="68.45" customHeight="1" x14ac:dyDescent="0.25">
      <c r="A53" s="216">
        <v>8</v>
      </c>
      <c r="B53" s="207" t="s">
        <v>190</v>
      </c>
      <c r="C53" s="207" t="s">
        <v>326</v>
      </c>
      <c r="D53" s="207" t="s">
        <v>116</v>
      </c>
      <c r="E53" s="139" t="s">
        <v>310</v>
      </c>
      <c r="F53" s="207" t="s">
        <v>328</v>
      </c>
      <c r="G53" s="219" t="s">
        <v>194</v>
      </c>
      <c r="H53" s="219" t="s">
        <v>329</v>
      </c>
      <c r="I53" s="207" t="s">
        <v>214</v>
      </c>
      <c r="J53" s="210">
        <v>150</v>
      </c>
      <c r="K53" s="213" t="str">
        <f>IF(J53&lt;=0,"",IF(J53&lt;=2,"Muy Baja",IF(J53&lt;=24,"Baja",IF(J53&lt;=500,"Media",IF(J53&lt;=5000,"Alta","Muy Alta")))))</f>
        <v>Media</v>
      </c>
      <c r="L53" s="225">
        <f>IF(K53="","",IF(K53="Muy Baja",0.2,IF(K53="Baja",0.4,IF(K53="Media",0.6,IF(K53="Alta",0.8,IF(K53="Muy Alta",1,))))))</f>
        <v>0.6</v>
      </c>
      <c r="M53" s="228" t="s">
        <v>137</v>
      </c>
      <c r="N53" s="225" t="str">
        <f ca="1">IF(NOT(ISERROR(MATCH(M53,'Tabla Impacto'!$B$221:$B$223,0))),'Tabla Impacto'!$F$223&amp;"Por favor no seleccionar los criterios de impacto(Afectación Económica o presupuestal y Pérdida Reputacional)",M53)</f>
        <v xml:space="preserve">     El riesgo afecta la imagen de la entidad con algunos usuarios de relevancia frente al logro de los objetivos</v>
      </c>
      <c r="O53" s="213" t="str">
        <f ca="1">IF(OR(N53='Tabla Impacto'!$C$11,N53='Tabla Impacto'!$D$11),"Leve",IF(OR(N53='Tabla Impacto'!$C$12,N53='Tabla Impacto'!$D$12),"Menor",IF(OR(N53='Tabla Impacto'!$C$13,N53='Tabla Impacto'!$D$13),"Moderado",IF(OR(N53='Tabla Impacto'!$C$14,N53='Tabla Impacto'!$D$14),"Mayor",IF(OR(N53='Tabla Impacto'!$C$15,N53='Tabla Impacto'!$D$15),"Catastrófico","")))))</f>
        <v>Moderado</v>
      </c>
      <c r="P53" s="225">
        <f ca="1">IF(O53="","",IF(O53="Leve",0.2,IF(O53="Menor",0.4,IF(O53="Moderado",0.6,IF(O53="Mayor",0.8,IF(O53="Catastrófico",1,))))))</f>
        <v>0.6</v>
      </c>
      <c r="Q53" s="222" t="str">
        <f ca="1">IF(OR(AND(K53="Muy Baja",O53="Leve"),AND(K53="Muy Baja",O53="Menor"),AND(K53="Baja",O53="Leve")),"Bajo",IF(OR(AND(K53="Muy baja",O53="Moderado"),AND(K53="Baja",O53="Menor"),AND(K53="Baja",O53="Moderado"),AND(K53="Media",O53="Leve"),AND(K53="Media",O53="Menor"),AND(K53="Media",O53="Moderado"),AND(K53="Alta",O53="Leve"),AND(K53="Alta",O53="Menor")),"Moderado",IF(OR(AND(K53="Muy Baja",O53="Mayor"),AND(K53="Baja",O53="Mayor"),AND(K53="Media",O53="Mayor"),AND(K53="Alta",O53="Moderado"),AND(K53="Alta",O53="Mayor"),AND(K53="Muy Alta",O53="Leve"),AND(K53="Muy Alta",O53="Menor"),AND(K53="Muy Alta",O53="Moderado"),AND(K53="Muy Alta",O53="Mayor")),"Alto",IF(OR(AND(K53="Muy Baja",O53="Catastrófico"),AND(K53="Baja",O53="Catastrófico"),AND(K53="Media",O53="Catastrófico"),AND(K53="Alta",O53="Catastrófico"),AND(K53="Muy Alta",O53="Catastrófico")),"Extremo",""))))</f>
        <v>Moderado</v>
      </c>
      <c r="R53" s="124">
        <v>1</v>
      </c>
      <c r="S53" s="125" t="s">
        <v>308</v>
      </c>
      <c r="T53" s="126" t="str">
        <f t="shared" si="3"/>
        <v>Probabilidad</v>
      </c>
      <c r="U53" s="127" t="s">
        <v>14</v>
      </c>
      <c r="V53" s="127" t="s">
        <v>8</v>
      </c>
      <c r="W53" s="128" t="str">
        <f t="shared" si="6"/>
        <v>30%</v>
      </c>
      <c r="X53" s="127" t="s">
        <v>18</v>
      </c>
      <c r="Y53" s="127" t="s">
        <v>21</v>
      </c>
      <c r="Z53" s="127" t="s">
        <v>111</v>
      </c>
      <c r="AA53" s="129">
        <f>IFERROR(IF(T53="Probabilidad",(L53-(+L53*W53)),IF(T53="Impacto",L53,"")),"")</f>
        <v>0.42</v>
      </c>
      <c r="AB53" s="130" t="str">
        <f>IFERROR(IF(AA53="","",IF(AA53&lt;=0.2,"Muy Baja",IF(AA53&lt;=0.4,"Baja",IF(AA53&lt;=0.6,"Media",IF(AA53&lt;=0.8,"Alta","Muy Alta"))))),"")</f>
        <v>Media</v>
      </c>
      <c r="AC53" s="131">
        <f t="shared" si="7"/>
        <v>0.42</v>
      </c>
      <c r="AD53" s="130" t="str">
        <f ca="1">IFERROR(IF(AE53="","",IF(AE53&lt;=0.2,"Leve",IF(AE53&lt;=0.4,"Menor",IF(AE53&lt;=0.6,"Moderado",IF(AE53&lt;=0.8,"Mayor","Catastrófico"))))),"")</f>
        <v>Moderado</v>
      </c>
      <c r="AE53" s="138">
        <f ca="1">IFERROR(IF(T53="Impacto",(P53-(+P53*W53)),IF(T53="Probabilidad",P53,"")),"")</f>
        <v>0.6</v>
      </c>
      <c r="AF53" s="132" t="str">
        <f t="shared" ca="1" si="8"/>
        <v>Moderado</v>
      </c>
      <c r="AG53" s="133" t="s">
        <v>30</v>
      </c>
      <c r="AH53" s="134"/>
      <c r="AI53" s="135"/>
      <c r="AJ53" s="136"/>
      <c r="AK53" s="136"/>
      <c r="AL53" s="134"/>
      <c r="AM53" s="135"/>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row>
    <row r="54" spans="1:71" ht="68.45" customHeight="1" x14ac:dyDescent="0.25">
      <c r="A54" s="217"/>
      <c r="B54" s="208"/>
      <c r="C54" s="208"/>
      <c r="D54" s="208"/>
      <c r="E54" s="140" t="s">
        <v>314</v>
      </c>
      <c r="F54" s="208"/>
      <c r="G54" s="220"/>
      <c r="H54" s="220"/>
      <c r="I54" s="208"/>
      <c r="J54" s="211"/>
      <c r="K54" s="214"/>
      <c r="L54" s="226"/>
      <c r="M54" s="229"/>
      <c r="N54" s="226">
        <f ca="1">IF(NOT(ISERROR(MATCH(M54,_xlfn.ANCHORARRAY(H65),0))),L67&amp;"Por favor no seleccionar los criterios de impacto",M54)</f>
        <v>0</v>
      </c>
      <c r="O54" s="214"/>
      <c r="P54" s="226"/>
      <c r="Q54" s="223"/>
      <c r="R54" s="124">
        <v>2</v>
      </c>
      <c r="S54" s="125" t="s">
        <v>337</v>
      </c>
      <c r="T54" s="126" t="str">
        <f t="shared" si="3"/>
        <v>Probabilidad</v>
      </c>
      <c r="U54" s="127" t="s">
        <v>13</v>
      </c>
      <c r="V54" s="127" t="s">
        <v>8</v>
      </c>
      <c r="W54" s="128" t="str">
        <f t="shared" si="6"/>
        <v>40%</v>
      </c>
      <c r="X54" s="127" t="s">
        <v>18</v>
      </c>
      <c r="Y54" s="127" t="s">
        <v>21</v>
      </c>
      <c r="Z54" s="127" t="s">
        <v>111</v>
      </c>
      <c r="AA54" s="129">
        <f>IFERROR(IF(AND(T53="Probabilidad",T54="Probabilidad"),(AC53-(+AC53*W54)),IF(T54="Probabilidad",(L53-(+L53*W54)),IF(T54="Impacto",AC53,""))),"")</f>
        <v>0.252</v>
      </c>
      <c r="AB54" s="130" t="str">
        <f t="shared" si="4"/>
        <v>Baja</v>
      </c>
      <c r="AC54" s="131">
        <f t="shared" si="7"/>
        <v>0.252</v>
      </c>
      <c r="AD54" s="130" t="str">
        <f t="shared" ca="1" si="5"/>
        <v>Moderado</v>
      </c>
      <c r="AE54" s="138">
        <f ca="1">IFERROR(IF(AND(T53="Impacto",T54="Impacto"),(AE53-(+AE53*W54)),IF(T54="Impacto",(P53-(+P53*W54)),IF(T54="Probabilidad",AE53,""))),"")</f>
        <v>0.6</v>
      </c>
      <c r="AF54" s="132" t="str">
        <f t="shared" ca="1" si="8"/>
        <v>Moderado</v>
      </c>
      <c r="AG54" s="133" t="s">
        <v>30</v>
      </c>
      <c r="AH54" s="134"/>
      <c r="AI54" s="135"/>
      <c r="AJ54" s="136"/>
      <c r="AK54" s="136"/>
      <c r="AL54" s="134"/>
      <c r="AM54" s="135"/>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row>
    <row r="55" spans="1:71" ht="68.45" customHeight="1" x14ac:dyDescent="0.25">
      <c r="A55" s="217"/>
      <c r="B55" s="208"/>
      <c r="C55" s="208"/>
      <c r="D55" s="208"/>
      <c r="E55" s="140" t="s">
        <v>327</v>
      </c>
      <c r="F55" s="208"/>
      <c r="G55" s="220"/>
      <c r="H55" s="220"/>
      <c r="I55" s="208"/>
      <c r="J55" s="211"/>
      <c r="K55" s="214"/>
      <c r="L55" s="226"/>
      <c r="M55" s="229"/>
      <c r="N55" s="226">
        <f ca="1">IF(NOT(ISERROR(MATCH(M55,_xlfn.ANCHORARRAY(H66),0))),L68&amp;"Por favor no seleccionar los criterios de impacto",M55)</f>
        <v>0</v>
      </c>
      <c r="O55" s="214"/>
      <c r="P55" s="226"/>
      <c r="Q55" s="223"/>
      <c r="R55" s="124">
        <v>3</v>
      </c>
      <c r="S55" s="137"/>
      <c r="T55" s="126" t="str">
        <f t="shared" si="3"/>
        <v/>
      </c>
      <c r="U55" s="127"/>
      <c r="V55" s="127"/>
      <c r="W55" s="128" t="str">
        <f t="shared" si="6"/>
        <v/>
      </c>
      <c r="X55" s="127"/>
      <c r="Y55" s="127"/>
      <c r="Z55" s="127"/>
      <c r="AA55" s="129" t="str">
        <f>IFERROR(IF(AND(T54="Probabilidad",T55="Probabilidad"),(AC54-(+AC54*W55)),IF(AND(T54="Impacto",T55="Probabilidad"),(AC53-(+AC53*W55)),IF(T55="Impacto",AC54,""))),"")</f>
        <v/>
      </c>
      <c r="AB55" s="130" t="str">
        <f t="shared" si="4"/>
        <v/>
      </c>
      <c r="AC55" s="131" t="str">
        <f t="shared" si="7"/>
        <v/>
      </c>
      <c r="AD55" s="130" t="str">
        <f t="shared" si="5"/>
        <v/>
      </c>
      <c r="AE55" s="138" t="str">
        <f>IFERROR(IF(AND(T54="Impacto",T55="Impacto"),(AE54-(+AE54*W55)),IF(AND(T54="Probabilidad",T55="Impacto"),(AE53-(+AE53*W55)),IF(T55="Probabilidad",AE54,""))),"")</f>
        <v/>
      </c>
      <c r="AF55" s="132" t="str">
        <f t="shared" si="8"/>
        <v/>
      </c>
      <c r="AG55" s="133"/>
      <c r="AH55" s="134"/>
      <c r="AI55" s="135"/>
      <c r="AJ55" s="136"/>
      <c r="AK55" s="136"/>
      <c r="AL55" s="134"/>
      <c r="AM55" s="135"/>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row>
    <row r="56" spans="1:71" ht="68.45" customHeight="1" x14ac:dyDescent="0.25">
      <c r="A56" s="217"/>
      <c r="B56" s="208"/>
      <c r="C56" s="208"/>
      <c r="D56" s="208"/>
      <c r="E56" s="140" t="s">
        <v>304</v>
      </c>
      <c r="F56" s="208"/>
      <c r="G56" s="220"/>
      <c r="H56" s="220"/>
      <c r="I56" s="208"/>
      <c r="J56" s="211"/>
      <c r="K56" s="214"/>
      <c r="L56" s="226"/>
      <c r="M56" s="229"/>
      <c r="N56" s="226">
        <f ca="1">IF(NOT(ISERROR(MATCH(M56,_xlfn.ANCHORARRAY(H67),0))),L69&amp;"Por favor no seleccionar los criterios de impacto",M56)</f>
        <v>0</v>
      </c>
      <c r="O56" s="214"/>
      <c r="P56" s="226"/>
      <c r="Q56" s="223"/>
      <c r="R56" s="124">
        <v>4</v>
      </c>
      <c r="S56" s="125"/>
      <c r="T56" s="126" t="str">
        <f t="shared" si="3"/>
        <v/>
      </c>
      <c r="U56" s="127"/>
      <c r="V56" s="127"/>
      <c r="W56" s="128" t="str">
        <f t="shared" si="6"/>
        <v/>
      </c>
      <c r="X56" s="127"/>
      <c r="Y56" s="127"/>
      <c r="Z56" s="127"/>
      <c r="AA56" s="129" t="str">
        <f>IFERROR(IF(AND(T55="Probabilidad",T56="Probabilidad"),(AC55-(+AC55*W56)),IF(AND(T55="Impacto",T56="Probabilidad"),(AC54-(+AC54*W56)),IF(T56="Impacto",AC55,""))),"")</f>
        <v/>
      </c>
      <c r="AB56" s="130" t="str">
        <f t="shared" si="4"/>
        <v/>
      </c>
      <c r="AC56" s="131" t="str">
        <f t="shared" si="7"/>
        <v/>
      </c>
      <c r="AD56" s="130" t="str">
        <f t="shared" si="5"/>
        <v/>
      </c>
      <c r="AE56" s="138" t="str">
        <f>IFERROR(IF(AND(T55="Impacto",T56="Impacto"),(AE55-(+AE55*W56)),IF(AND(T55="Probabilidad",T56="Impacto"),(AE54-(+AE54*W56)),IF(T56="Probabilidad",AE55,""))),"")</f>
        <v/>
      </c>
      <c r="AF56" s="132" t="str">
        <f t="shared" si="8"/>
        <v/>
      </c>
      <c r="AG56" s="133"/>
      <c r="AH56" s="134"/>
      <c r="AI56" s="135"/>
      <c r="AJ56" s="136"/>
      <c r="AK56" s="136"/>
      <c r="AL56" s="134"/>
      <c r="AM56" s="135"/>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row>
    <row r="57" spans="1:71" ht="68.45" customHeight="1" x14ac:dyDescent="0.25">
      <c r="A57" s="217"/>
      <c r="B57" s="208"/>
      <c r="C57" s="208"/>
      <c r="D57" s="208"/>
      <c r="E57" s="140"/>
      <c r="F57" s="208"/>
      <c r="G57" s="220"/>
      <c r="H57" s="220"/>
      <c r="I57" s="208"/>
      <c r="J57" s="211"/>
      <c r="K57" s="214"/>
      <c r="L57" s="226"/>
      <c r="M57" s="229"/>
      <c r="N57" s="226">
        <f ca="1">IF(NOT(ISERROR(MATCH(M57,_xlfn.ANCHORARRAY(H68),0))),L70&amp;"Por favor no seleccionar los criterios de impacto",M57)</f>
        <v>0</v>
      </c>
      <c r="O57" s="214"/>
      <c r="P57" s="226"/>
      <c r="Q57" s="223"/>
      <c r="R57" s="124">
        <v>5</v>
      </c>
      <c r="S57" s="125"/>
      <c r="T57" s="126" t="str">
        <f t="shared" si="3"/>
        <v/>
      </c>
      <c r="U57" s="127"/>
      <c r="V57" s="127"/>
      <c r="W57" s="128" t="str">
        <f t="shared" si="6"/>
        <v/>
      </c>
      <c r="X57" s="127"/>
      <c r="Y57" s="127"/>
      <c r="Z57" s="127"/>
      <c r="AA57" s="129" t="str">
        <f>IFERROR(IF(AND(T56="Probabilidad",T57="Probabilidad"),(AC56-(+AC56*W57)),IF(AND(T56="Impacto",T57="Probabilidad"),(AC55-(+AC55*W57)),IF(T57="Impacto",AC56,""))),"")</f>
        <v/>
      </c>
      <c r="AB57" s="130" t="str">
        <f t="shared" si="4"/>
        <v/>
      </c>
      <c r="AC57" s="131" t="str">
        <f t="shared" si="7"/>
        <v/>
      </c>
      <c r="AD57" s="130" t="str">
        <f t="shared" si="5"/>
        <v/>
      </c>
      <c r="AE57" s="138" t="str">
        <f>IFERROR(IF(AND(T56="Impacto",T57="Impacto"),(AE56-(+AE56*W57)),IF(AND(T56="Probabilidad",T57="Impacto"),(AE55-(+AE55*W57)),IF(T57="Probabilidad",AE56,""))),"")</f>
        <v/>
      </c>
      <c r="AF57" s="132" t="str">
        <f t="shared" si="8"/>
        <v/>
      </c>
      <c r="AG57" s="133"/>
      <c r="AH57" s="134"/>
      <c r="AI57" s="135"/>
      <c r="AJ57" s="136"/>
      <c r="AK57" s="136"/>
      <c r="AL57" s="134"/>
      <c r="AM57" s="135"/>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row>
    <row r="58" spans="1:71" ht="68.45" customHeight="1" x14ac:dyDescent="0.25">
      <c r="A58" s="218"/>
      <c r="B58" s="209"/>
      <c r="C58" s="209"/>
      <c r="D58" s="209"/>
      <c r="E58" s="141"/>
      <c r="F58" s="209"/>
      <c r="G58" s="221"/>
      <c r="H58" s="221"/>
      <c r="I58" s="209"/>
      <c r="J58" s="212"/>
      <c r="K58" s="215"/>
      <c r="L58" s="227"/>
      <c r="M58" s="230"/>
      <c r="N58" s="227">
        <f ca="1">IF(NOT(ISERROR(MATCH(M58,_xlfn.ANCHORARRAY(H69),0))),L71&amp;"Por favor no seleccionar los criterios de impacto",M58)</f>
        <v>0</v>
      </c>
      <c r="O58" s="215"/>
      <c r="P58" s="227"/>
      <c r="Q58" s="224"/>
      <c r="R58" s="124">
        <v>6</v>
      </c>
      <c r="S58" s="125"/>
      <c r="T58" s="126" t="str">
        <f t="shared" si="3"/>
        <v/>
      </c>
      <c r="U58" s="127"/>
      <c r="V58" s="127"/>
      <c r="W58" s="128" t="str">
        <f t="shared" si="6"/>
        <v/>
      </c>
      <c r="X58" s="127"/>
      <c r="Y58" s="127"/>
      <c r="Z58" s="127"/>
      <c r="AA58" s="129" t="str">
        <f>IFERROR(IF(AND(T57="Probabilidad",T58="Probabilidad"),(AC57-(+AC57*W58)),IF(AND(T57="Impacto",T58="Probabilidad"),(AC56-(+AC56*W58)),IF(T58="Impacto",AC57,""))),"")</f>
        <v/>
      </c>
      <c r="AB58" s="130" t="str">
        <f t="shared" si="4"/>
        <v/>
      </c>
      <c r="AC58" s="131" t="str">
        <f t="shared" si="7"/>
        <v/>
      </c>
      <c r="AD58" s="130" t="str">
        <f t="shared" si="5"/>
        <v/>
      </c>
      <c r="AE58" s="138" t="str">
        <f>IFERROR(IF(AND(T57="Impacto",T58="Impacto"),(AE57-(+AE57*W58)),IF(AND(T57="Probabilidad",T58="Impacto"),(AE56-(+AE56*W58)),IF(T58="Probabilidad",AE57,""))),"")</f>
        <v/>
      </c>
      <c r="AF58" s="132" t="str">
        <f t="shared" si="8"/>
        <v/>
      </c>
      <c r="AG58" s="133"/>
      <c r="AH58" s="134"/>
      <c r="AI58" s="135"/>
      <c r="AJ58" s="136"/>
      <c r="AK58" s="136"/>
      <c r="AL58" s="134"/>
      <c r="AM58" s="135"/>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row>
    <row r="59" spans="1:71" ht="68.45" customHeight="1" x14ac:dyDescent="0.25">
      <c r="A59" s="216">
        <v>9</v>
      </c>
      <c r="B59" s="207" t="s">
        <v>184</v>
      </c>
      <c r="C59" s="207" t="s">
        <v>330</v>
      </c>
      <c r="D59" s="207" t="s">
        <v>116</v>
      </c>
      <c r="E59" s="139" t="s">
        <v>331</v>
      </c>
      <c r="F59" s="207" t="s">
        <v>333</v>
      </c>
      <c r="G59" s="219" t="s">
        <v>193</v>
      </c>
      <c r="H59" s="219" t="s">
        <v>335</v>
      </c>
      <c r="I59" s="207" t="s">
        <v>211</v>
      </c>
      <c r="J59" s="210">
        <v>150</v>
      </c>
      <c r="K59" s="213" t="str">
        <f>IF(J59&lt;=0,"",IF(J59&lt;=2,"Muy Baja",IF(J59&lt;=24,"Baja",IF(J59&lt;=500,"Media",IF(J59&lt;=5000,"Alta","Muy Alta")))))</f>
        <v>Media</v>
      </c>
      <c r="L59" s="225">
        <f>IF(K59="","",IF(K59="Muy Baja",0.2,IF(K59="Baja",0.4,IF(K59="Media",0.6,IF(K59="Alta",0.8,IF(K59="Muy Alta",1,))))))</f>
        <v>0.6</v>
      </c>
      <c r="M59" s="228" t="s">
        <v>137</v>
      </c>
      <c r="N59" s="225" t="str">
        <f ca="1">IF(NOT(ISERROR(MATCH(M59,'Tabla Impacto'!$B$221:$B$223,0))),'Tabla Impacto'!$F$223&amp;"Por favor no seleccionar los criterios de impacto(Afectación Económica o presupuestal y Pérdida Reputacional)",M59)</f>
        <v xml:space="preserve">     El riesgo afecta la imagen de la entidad con algunos usuarios de relevancia frente al logro de los objetivos</v>
      </c>
      <c r="O59" s="213" t="str">
        <f ca="1">IF(OR(N59='Tabla Impacto'!$C$11,N59='Tabla Impacto'!$D$11),"Leve",IF(OR(N59='Tabla Impacto'!$C$12,N59='Tabla Impacto'!$D$12),"Menor",IF(OR(N59='Tabla Impacto'!$C$13,N59='Tabla Impacto'!$D$13),"Moderado",IF(OR(N59='Tabla Impacto'!$C$14,N59='Tabla Impacto'!$D$14),"Mayor",IF(OR(N59='Tabla Impacto'!$C$15,N59='Tabla Impacto'!$D$15),"Catastrófico","")))))</f>
        <v>Moderado</v>
      </c>
      <c r="P59" s="225">
        <f ca="1">IF(O59="","",IF(O59="Leve",0.2,IF(O59="Menor",0.4,IF(O59="Moderado",0.6,IF(O59="Mayor",0.8,IF(O59="Catastrófico",1,))))))</f>
        <v>0.6</v>
      </c>
      <c r="Q59" s="222" t="str">
        <f ca="1">IF(OR(AND(K59="Muy Baja",O59="Leve"),AND(K59="Muy Baja",O59="Menor"),AND(K59="Baja",O59="Leve")),"Bajo",IF(OR(AND(K59="Muy baja",O59="Moderado"),AND(K59="Baja",O59="Menor"),AND(K59="Baja",O59="Moderado"),AND(K59="Media",O59="Leve"),AND(K59="Media",O59="Menor"),AND(K59="Media",O59="Moderado"),AND(K59="Alta",O59="Leve"),AND(K59="Alta",O59="Menor")),"Moderado",IF(OR(AND(K59="Muy Baja",O59="Mayor"),AND(K59="Baja",O59="Mayor"),AND(K59="Media",O59="Mayor"),AND(K59="Alta",O59="Moderado"),AND(K59="Alta",O59="Mayor"),AND(K59="Muy Alta",O59="Leve"),AND(K59="Muy Alta",O59="Menor"),AND(K59="Muy Alta",O59="Moderado"),AND(K59="Muy Alta",O59="Mayor")),"Alto",IF(OR(AND(K59="Muy Baja",O59="Catastrófico"),AND(K59="Baja",O59="Catastrófico"),AND(K59="Media",O59="Catastrófico"),AND(K59="Alta",O59="Catastrófico"),AND(K59="Muy Alta",O59="Catastrófico")),"Extremo",""))))</f>
        <v>Moderado</v>
      </c>
      <c r="R59" s="124">
        <v>1</v>
      </c>
      <c r="S59" s="125" t="s">
        <v>336</v>
      </c>
      <c r="T59" s="126" t="str">
        <f t="shared" si="3"/>
        <v>Probabilidad</v>
      </c>
      <c r="U59" s="127" t="s">
        <v>13</v>
      </c>
      <c r="V59" s="127" t="s">
        <v>8</v>
      </c>
      <c r="W59" s="128" t="str">
        <f t="shared" si="6"/>
        <v>40%</v>
      </c>
      <c r="X59" s="127" t="s">
        <v>19</v>
      </c>
      <c r="Y59" s="127" t="s">
        <v>21</v>
      </c>
      <c r="Z59" s="127" t="s">
        <v>111</v>
      </c>
      <c r="AA59" s="129">
        <f>IFERROR(IF(T59="Probabilidad",(L59-(+L59*W59)),IF(T59="Impacto",L59,"")),"")</f>
        <v>0.36</v>
      </c>
      <c r="AB59" s="130" t="str">
        <f>IFERROR(IF(AA59="","",IF(AA59&lt;=0.2,"Muy Baja",IF(AA59&lt;=0.4,"Baja",IF(AA59&lt;=0.6,"Media",IF(AA59&lt;=0.8,"Alta","Muy Alta"))))),"")</f>
        <v>Baja</v>
      </c>
      <c r="AC59" s="131">
        <f t="shared" si="7"/>
        <v>0.36</v>
      </c>
      <c r="AD59" s="130" t="str">
        <f ca="1">IFERROR(IF(AE59="","",IF(AE59&lt;=0.2,"Leve",IF(AE59&lt;=0.4,"Menor",IF(AE59&lt;=0.6,"Moderado",IF(AE59&lt;=0.8,"Mayor","Catastrófico"))))),"")</f>
        <v>Moderado</v>
      </c>
      <c r="AE59" s="138">
        <f ca="1">IFERROR(IF(T59="Impacto",(P59-(+P59*W59)),IF(T59="Probabilidad",P59,"")),"")</f>
        <v>0.6</v>
      </c>
      <c r="AF59" s="132" t="str">
        <f t="shared" ca="1" si="8"/>
        <v>Moderado</v>
      </c>
      <c r="AG59" s="133" t="s">
        <v>30</v>
      </c>
      <c r="AH59" s="134"/>
      <c r="AI59" s="135"/>
      <c r="AJ59" s="136"/>
      <c r="AK59" s="136"/>
      <c r="AL59" s="134"/>
      <c r="AM59" s="135"/>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row>
    <row r="60" spans="1:71" ht="68.45" customHeight="1" x14ac:dyDescent="0.25">
      <c r="A60" s="217"/>
      <c r="B60" s="208"/>
      <c r="C60" s="208"/>
      <c r="D60" s="208"/>
      <c r="E60" s="140" t="s">
        <v>332</v>
      </c>
      <c r="F60" s="208"/>
      <c r="G60" s="220"/>
      <c r="H60" s="220"/>
      <c r="I60" s="208"/>
      <c r="J60" s="211"/>
      <c r="K60" s="214"/>
      <c r="L60" s="226"/>
      <c r="M60" s="229"/>
      <c r="N60" s="226">
        <f ca="1">IF(NOT(ISERROR(MATCH(M60,_xlfn.ANCHORARRAY(F71),0))),L73&amp;"Por favor no seleccionar los criterios de impacto",M60)</f>
        <v>0</v>
      </c>
      <c r="O60" s="214"/>
      <c r="P60" s="226"/>
      <c r="Q60" s="223"/>
      <c r="R60" s="124">
        <v>2</v>
      </c>
      <c r="S60" s="125"/>
      <c r="T60" s="126" t="str">
        <f t="shared" si="3"/>
        <v/>
      </c>
      <c r="U60" s="127"/>
      <c r="V60" s="127"/>
      <c r="W60" s="128" t="str">
        <f t="shared" si="6"/>
        <v/>
      </c>
      <c r="X60" s="127"/>
      <c r="Y60" s="127"/>
      <c r="Z60" s="127"/>
      <c r="AA60" s="129" t="str">
        <f>IFERROR(IF(AND(T59="Probabilidad",T60="Probabilidad"),(AC59-(+AC59*W60)),IF(T60="Probabilidad",(L59-(+L59*W60)),IF(T60="Impacto",AC59,""))),"")</f>
        <v/>
      </c>
      <c r="AB60" s="130" t="str">
        <f t="shared" si="4"/>
        <v/>
      </c>
      <c r="AC60" s="131" t="str">
        <f t="shared" si="7"/>
        <v/>
      </c>
      <c r="AD60" s="130" t="str">
        <f t="shared" si="5"/>
        <v/>
      </c>
      <c r="AE60" s="138" t="str">
        <f>IFERROR(IF(AND(T59="Impacto",T60="Impacto"),(AE59-(+AE59*W60)),IF(T60="Impacto",(P59-(+P59*W60)),IF(T60="Probabilidad",AE59,""))),"")</f>
        <v/>
      </c>
      <c r="AF60" s="132" t="str">
        <f t="shared" si="8"/>
        <v/>
      </c>
      <c r="AG60" s="133"/>
      <c r="AH60" s="134"/>
      <c r="AI60" s="135"/>
      <c r="AJ60" s="136"/>
      <c r="AK60" s="136"/>
      <c r="AL60" s="134"/>
      <c r="AM60" s="135"/>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row>
    <row r="61" spans="1:71" ht="68.45" customHeight="1" x14ac:dyDescent="0.25">
      <c r="A61" s="217"/>
      <c r="B61" s="208"/>
      <c r="C61" s="208"/>
      <c r="D61" s="208"/>
      <c r="E61" s="140" t="s">
        <v>334</v>
      </c>
      <c r="F61" s="208"/>
      <c r="G61" s="220"/>
      <c r="H61" s="220"/>
      <c r="I61" s="208"/>
      <c r="J61" s="211"/>
      <c r="K61" s="214"/>
      <c r="L61" s="226"/>
      <c r="M61" s="229"/>
      <c r="N61" s="226">
        <f ca="1">IF(NOT(ISERROR(MATCH(M61,_xlfn.ANCHORARRAY(F72),0))),L74&amp;"Por favor no seleccionar los criterios de impacto",M61)</f>
        <v>0</v>
      </c>
      <c r="O61" s="214"/>
      <c r="P61" s="226"/>
      <c r="Q61" s="223"/>
      <c r="R61" s="124">
        <v>3</v>
      </c>
      <c r="S61" s="137"/>
      <c r="T61" s="126" t="str">
        <f t="shared" si="3"/>
        <v/>
      </c>
      <c r="U61" s="127"/>
      <c r="V61" s="127"/>
      <c r="W61" s="128" t="str">
        <f t="shared" si="6"/>
        <v/>
      </c>
      <c r="X61" s="127"/>
      <c r="Y61" s="127"/>
      <c r="Z61" s="127"/>
      <c r="AA61" s="129" t="str">
        <f>IFERROR(IF(AND(T60="Probabilidad",T61="Probabilidad"),(AC60-(+AC60*W61)),IF(AND(T60="Impacto",T61="Probabilidad"),(AC59-(+AC59*W61)),IF(T61="Impacto",AC60,""))),"")</f>
        <v/>
      </c>
      <c r="AB61" s="130" t="str">
        <f t="shared" si="4"/>
        <v/>
      </c>
      <c r="AC61" s="131" t="str">
        <f t="shared" si="7"/>
        <v/>
      </c>
      <c r="AD61" s="130" t="str">
        <f t="shared" si="5"/>
        <v/>
      </c>
      <c r="AE61" s="138" t="str">
        <f>IFERROR(IF(AND(T60="Impacto",T61="Impacto"),(AE60-(+AE60*W61)),IF(AND(T60="Probabilidad",T61="Impacto"),(AE59-(+AE59*W61)),IF(T61="Probabilidad",AE60,""))),"")</f>
        <v/>
      </c>
      <c r="AF61" s="132" t="str">
        <f t="shared" si="8"/>
        <v/>
      </c>
      <c r="AG61" s="133"/>
      <c r="AH61" s="134"/>
      <c r="AI61" s="135"/>
      <c r="AJ61" s="136"/>
      <c r="AK61" s="136"/>
      <c r="AL61" s="134"/>
      <c r="AM61" s="135"/>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row>
    <row r="62" spans="1:71" ht="68.45" customHeight="1" x14ac:dyDescent="0.25">
      <c r="A62" s="217"/>
      <c r="B62" s="208"/>
      <c r="C62" s="208"/>
      <c r="D62" s="208"/>
      <c r="E62" s="140"/>
      <c r="F62" s="208"/>
      <c r="G62" s="220"/>
      <c r="H62" s="220"/>
      <c r="I62" s="208"/>
      <c r="J62" s="211"/>
      <c r="K62" s="214"/>
      <c r="L62" s="226"/>
      <c r="M62" s="229"/>
      <c r="N62" s="226">
        <f ca="1">IF(NOT(ISERROR(MATCH(M62,_xlfn.ANCHORARRAY(F73),0))),L75&amp;"Por favor no seleccionar los criterios de impacto",M62)</f>
        <v>0</v>
      </c>
      <c r="O62" s="214"/>
      <c r="P62" s="226"/>
      <c r="Q62" s="223"/>
      <c r="R62" s="124">
        <v>4</v>
      </c>
      <c r="S62" s="125"/>
      <c r="T62" s="126" t="str">
        <f t="shared" si="3"/>
        <v/>
      </c>
      <c r="U62" s="127"/>
      <c r="V62" s="127"/>
      <c r="W62" s="128" t="str">
        <f t="shared" si="6"/>
        <v/>
      </c>
      <c r="X62" s="127"/>
      <c r="Y62" s="127"/>
      <c r="Z62" s="127"/>
      <c r="AA62" s="129" t="str">
        <f>IFERROR(IF(AND(T61="Probabilidad",T62="Probabilidad"),(AC61-(+AC61*W62)),IF(AND(T61="Impacto",T62="Probabilidad"),(AC60-(+AC60*W62)),IF(T62="Impacto",AC61,""))),"")</f>
        <v/>
      </c>
      <c r="AB62" s="130" t="str">
        <f t="shared" si="4"/>
        <v/>
      </c>
      <c r="AC62" s="131" t="str">
        <f t="shared" si="7"/>
        <v/>
      </c>
      <c r="AD62" s="130" t="str">
        <f t="shared" si="5"/>
        <v/>
      </c>
      <c r="AE62" s="138" t="str">
        <f>IFERROR(IF(AND(T61="Impacto",T62="Impacto"),(AE61-(+AE61*W62)),IF(AND(T61="Probabilidad",T62="Impacto"),(AE60-(+AE60*W62)),IF(T62="Probabilidad",AE61,""))),"")</f>
        <v/>
      </c>
      <c r="AF62" s="132" t="str">
        <f t="shared" si="8"/>
        <v/>
      </c>
      <c r="AG62" s="133"/>
      <c r="AH62" s="134"/>
      <c r="AI62" s="135"/>
      <c r="AJ62" s="136"/>
      <c r="AK62" s="136"/>
      <c r="AL62" s="134"/>
      <c r="AM62" s="135"/>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row>
    <row r="63" spans="1:71" ht="68.45" customHeight="1" x14ac:dyDescent="0.25">
      <c r="A63" s="217"/>
      <c r="B63" s="208"/>
      <c r="C63" s="208"/>
      <c r="D63" s="208"/>
      <c r="E63" s="140"/>
      <c r="F63" s="208"/>
      <c r="G63" s="220"/>
      <c r="H63" s="220"/>
      <c r="I63" s="208"/>
      <c r="J63" s="211"/>
      <c r="K63" s="214"/>
      <c r="L63" s="226"/>
      <c r="M63" s="229"/>
      <c r="N63" s="226">
        <f ca="1">IF(NOT(ISERROR(MATCH(M63,_xlfn.ANCHORARRAY(F74),0))),L76&amp;"Por favor no seleccionar los criterios de impacto",M63)</f>
        <v>0</v>
      </c>
      <c r="O63" s="214"/>
      <c r="P63" s="226"/>
      <c r="Q63" s="223"/>
      <c r="R63" s="124">
        <v>5</v>
      </c>
      <c r="S63" s="125"/>
      <c r="T63" s="126" t="str">
        <f t="shared" si="3"/>
        <v/>
      </c>
      <c r="U63" s="127"/>
      <c r="V63" s="127"/>
      <c r="W63" s="128" t="str">
        <f t="shared" si="6"/>
        <v/>
      </c>
      <c r="X63" s="127"/>
      <c r="Y63" s="127"/>
      <c r="Z63" s="127"/>
      <c r="AA63" s="129" t="str">
        <f>IFERROR(IF(AND(T62="Probabilidad",T63="Probabilidad"),(AC62-(+AC62*W63)),IF(AND(T62="Impacto",T63="Probabilidad"),(AC61-(+AC61*W63)),IF(T63="Impacto",AC62,""))),"")</f>
        <v/>
      </c>
      <c r="AB63" s="130" t="str">
        <f t="shared" si="4"/>
        <v/>
      </c>
      <c r="AC63" s="131" t="str">
        <f t="shared" si="7"/>
        <v/>
      </c>
      <c r="AD63" s="130" t="str">
        <f t="shared" si="5"/>
        <v/>
      </c>
      <c r="AE63" s="138" t="str">
        <f>IFERROR(IF(AND(T62="Impacto",T63="Impacto"),(AE62-(+AE62*W63)),IF(AND(T62="Probabilidad",T63="Impacto"),(AE61-(+AE61*W63)),IF(T63="Probabilidad",AE62,""))),"")</f>
        <v/>
      </c>
      <c r="AF63" s="132" t="str">
        <f t="shared" si="8"/>
        <v/>
      </c>
      <c r="AG63" s="133"/>
      <c r="AH63" s="134"/>
      <c r="AI63" s="135"/>
      <c r="AJ63" s="136"/>
      <c r="AK63" s="136"/>
      <c r="AL63" s="134"/>
      <c r="AM63" s="135"/>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row>
    <row r="64" spans="1:71" ht="68.45" customHeight="1" x14ac:dyDescent="0.25">
      <c r="A64" s="218"/>
      <c r="B64" s="209"/>
      <c r="C64" s="209"/>
      <c r="D64" s="209"/>
      <c r="E64" s="141"/>
      <c r="F64" s="209"/>
      <c r="G64" s="221"/>
      <c r="H64" s="221"/>
      <c r="I64" s="209"/>
      <c r="J64" s="212"/>
      <c r="K64" s="215"/>
      <c r="L64" s="227"/>
      <c r="M64" s="230"/>
      <c r="N64" s="227">
        <f ca="1">IF(NOT(ISERROR(MATCH(M64,_xlfn.ANCHORARRAY(F75),0))),L77&amp;"Por favor no seleccionar los criterios de impacto",M64)</f>
        <v>0</v>
      </c>
      <c r="O64" s="215"/>
      <c r="P64" s="227"/>
      <c r="Q64" s="224"/>
      <c r="R64" s="124">
        <v>6</v>
      </c>
      <c r="S64" s="125"/>
      <c r="T64" s="126" t="str">
        <f t="shared" si="3"/>
        <v/>
      </c>
      <c r="U64" s="127"/>
      <c r="V64" s="127"/>
      <c r="W64" s="128" t="str">
        <f t="shared" si="6"/>
        <v/>
      </c>
      <c r="X64" s="127"/>
      <c r="Y64" s="127"/>
      <c r="Z64" s="127"/>
      <c r="AA64" s="129" t="str">
        <f>IFERROR(IF(AND(T63="Probabilidad",T64="Probabilidad"),(AC63-(+AC63*W64)),IF(AND(T63="Impacto",T64="Probabilidad"),(AC62-(+AC62*W64)),IF(T64="Impacto",AC63,""))),"")</f>
        <v/>
      </c>
      <c r="AB64" s="130" t="str">
        <f t="shared" si="4"/>
        <v/>
      </c>
      <c r="AC64" s="131" t="str">
        <f t="shared" si="7"/>
        <v/>
      </c>
      <c r="AD64" s="130" t="str">
        <f t="shared" si="5"/>
        <v/>
      </c>
      <c r="AE64" s="138" t="str">
        <f>IFERROR(IF(AND(T63="Impacto",T64="Impacto"),(AE63-(+AE63*W64)),IF(AND(T63="Probabilidad",T64="Impacto"),(AE62-(+AE62*W64)),IF(T64="Probabilidad",AE63,""))),"")</f>
        <v/>
      </c>
      <c r="AF64" s="132" t="str">
        <f t="shared" si="8"/>
        <v/>
      </c>
      <c r="AG64" s="133"/>
      <c r="AH64" s="134"/>
      <c r="AI64" s="135"/>
      <c r="AJ64" s="136"/>
      <c r="AK64" s="136"/>
      <c r="AL64" s="134"/>
      <c r="AM64" s="135"/>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row>
    <row r="65" spans="1:71" ht="68.45" customHeight="1" x14ac:dyDescent="0.25">
      <c r="A65" s="216">
        <v>10</v>
      </c>
      <c r="B65" s="207"/>
      <c r="C65" s="207"/>
      <c r="D65" s="207"/>
      <c r="E65" s="139"/>
      <c r="F65" s="207"/>
      <c r="G65" s="219"/>
      <c r="H65" s="219"/>
      <c r="I65" s="207"/>
      <c r="J65" s="210"/>
      <c r="K65" s="213" t="str">
        <f>IF(J65&lt;=0,"",IF(J65&lt;=2,"Muy Baja",IF(J65&lt;=24,"Baja",IF(J65&lt;=500,"Media",IF(J65&lt;=5000,"Alta","Muy Alta")))))</f>
        <v/>
      </c>
      <c r="L65" s="225" t="str">
        <f>IF(K65="","",IF(K65="Muy Baja",0.2,IF(K65="Baja",0.4,IF(K65="Media",0.6,IF(K65="Alta",0.8,IF(K65="Muy Alta",1,))))))</f>
        <v/>
      </c>
      <c r="M65" s="228"/>
      <c r="N65" s="225">
        <f ca="1">IF(NOT(ISERROR(MATCH(M65,'Tabla Impacto'!$B$221:$B$223,0))),'Tabla Impacto'!$F$223&amp;"Por favor no seleccionar los criterios de impacto(Afectación Económica o presupuestal y Pérdida Reputacional)",M65)</f>
        <v>0</v>
      </c>
      <c r="O65" s="213" t="str">
        <f ca="1">IF(OR(N65='Tabla Impacto'!$C$11,N65='Tabla Impacto'!$D$11),"Leve",IF(OR(N65='Tabla Impacto'!$C$12,N65='Tabla Impacto'!$D$12),"Menor",IF(OR(N65='Tabla Impacto'!$C$13,N65='Tabla Impacto'!$D$13),"Moderado",IF(OR(N65='Tabla Impacto'!$C$14,N65='Tabla Impacto'!$D$14),"Mayor",IF(OR(N65='Tabla Impacto'!$C$15,N65='Tabla Impacto'!$D$15),"Catastrófico","")))))</f>
        <v/>
      </c>
      <c r="P65" s="225" t="str">
        <f ca="1">IF(O65="","",IF(O65="Leve",0.2,IF(O65="Menor",0.4,IF(O65="Moderado",0.6,IF(O65="Mayor",0.8,IF(O65="Catastrófico",1,))))))</f>
        <v/>
      </c>
      <c r="Q65" s="222" t="str">
        <f ca="1">IF(OR(AND(K65="Muy Baja",O65="Leve"),AND(K65="Muy Baja",O65="Menor"),AND(K65="Baja",O65="Leve")),"Bajo",IF(OR(AND(K65="Muy baja",O65="Moderado"),AND(K65="Baja",O65="Menor"),AND(K65="Baja",O65="Moderado"),AND(K65="Media",O65="Leve"),AND(K65="Media",O65="Menor"),AND(K65="Media",O65="Moderado"),AND(K65="Alta",O65="Leve"),AND(K65="Alta",O65="Menor")),"Moderado",IF(OR(AND(K65="Muy Baja",O65="Mayor"),AND(K65="Baja",O65="Mayor"),AND(K65="Media",O65="Mayor"),AND(K65="Alta",O65="Moderado"),AND(K65="Alta",O65="Mayor"),AND(K65="Muy Alta",O65="Leve"),AND(K65="Muy Alta",O65="Menor"),AND(K65="Muy Alta",O65="Moderado"),AND(K65="Muy Alta",O65="Mayor")),"Alto",IF(OR(AND(K65="Muy Baja",O65="Catastrófico"),AND(K65="Baja",O65="Catastrófico"),AND(K65="Media",O65="Catastrófico"),AND(K65="Alta",O65="Catastrófico"),AND(K65="Muy Alta",O65="Catastrófico")),"Extremo",""))))</f>
        <v/>
      </c>
      <c r="R65" s="124">
        <v>1</v>
      </c>
      <c r="S65" s="125"/>
      <c r="T65" s="126" t="str">
        <f t="shared" si="3"/>
        <v/>
      </c>
      <c r="U65" s="127"/>
      <c r="V65" s="127"/>
      <c r="W65" s="128" t="str">
        <f t="shared" si="6"/>
        <v/>
      </c>
      <c r="X65" s="127"/>
      <c r="Y65" s="127"/>
      <c r="Z65" s="127"/>
      <c r="AA65" s="129" t="str">
        <f>IFERROR(IF(T65="Probabilidad",(L65-(+L65*W65)),IF(T65="Impacto",L65,"")),"")</f>
        <v/>
      </c>
      <c r="AB65" s="130" t="str">
        <f>IFERROR(IF(AA65="","",IF(AA65&lt;=0.2,"Muy Baja",IF(AA65&lt;=0.4,"Baja",IF(AA65&lt;=0.6,"Media",IF(AA65&lt;=0.8,"Alta","Muy Alta"))))),"")</f>
        <v/>
      </c>
      <c r="AC65" s="131" t="str">
        <f t="shared" si="7"/>
        <v/>
      </c>
      <c r="AD65" s="130" t="str">
        <f>IFERROR(IF(AE65="","",IF(AE65&lt;=0.2,"Leve",IF(AE65&lt;=0.4,"Menor",IF(AE65&lt;=0.6,"Moderado",IF(AE65&lt;=0.8,"Mayor","Catastrófico"))))),"")</f>
        <v/>
      </c>
      <c r="AE65" s="138" t="str">
        <f>IFERROR(IF(T65="Impacto",(P65-(+P65*W65)),IF(T65="Probabilidad",P65,"")),"")</f>
        <v/>
      </c>
      <c r="AF65" s="132" t="str">
        <f t="shared" si="8"/>
        <v/>
      </c>
      <c r="AG65" s="133"/>
      <c r="AH65" s="134"/>
      <c r="AI65" s="135"/>
      <c r="AJ65" s="136"/>
      <c r="AK65" s="136"/>
      <c r="AL65" s="134"/>
      <c r="AM65" s="135"/>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row>
    <row r="66" spans="1:71" ht="68.45" customHeight="1" x14ac:dyDescent="0.25">
      <c r="A66" s="217"/>
      <c r="B66" s="208"/>
      <c r="C66" s="208"/>
      <c r="D66" s="208"/>
      <c r="E66" s="140"/>
      <c r="F66" s="208"/>
      <c r="G66" s="220"/>
      <c r="H66" s="220"/>
      <c r="I66" s="208"/>
      <c r="J66" s="211"/>
      <c r="K66" s="214"/>
      <c r="L66" s="226"/>
      <c r="M66" s="229"/>
      <c r="N66" s="226">
        <f ca="1">IF(NOT(ISERROR(MATCH(M66,_xlfn.ANCHORARRAY(F77),0))),L79&amp;"Por favor no seleccionar los criterios de impacto",M66)</f>
        <v>0</v>
      </c>
      <c r="O66" s="214"/>
      <c r="P66" s="226"/>
      <c r="Q66" s="223"/>
      <c r="R66" s="124">
        <v>2</v>
      </c>
      <c r="S66" s="125"/>
      <c r="T66" s="126" t="str">
        <f t="shared" si="3"/>
        <v/>
      </c>
      <c r="U66" s="127"/>
      <c r="V66" s="127"/>
      <c r="W66" s="128" t="str">
        <f t="shared" si="6"/>
        <v/>
      </c>
      <c r="X66" s="127"/>
      <c r="Y66" s="127"/>
      <c r="Z66" s="127"/>
      <c r="AA66" s="129" t="str">
        <f>IFERROR(IF(AND(T65="Probabilidad",T66="Probabilidad"),(AC65-(+AC65*W66)),IF(T66="Probabilidad",(L65-(+L65*W66)),IF(T66="Impacto",AC65,""))),"")</f>
        <v/>
      </c>
      <c r="AB66" s="130" t="str">
        <f t="shared" si="4"/>
        <v/>
      </c>
      <c r="AC66" s="131" t="str">
        <f t="shared" si="7"/>
        <v/>
      </c>
      <c r="AD66" s="130" t="str">
        <f t="shared" si="5"/>
        <v/>
      </c>
      <c r="AE66" s="138" t="str">
        <f>IFERROR(IF(AND(T65="Impacto",T66="Impacto"),(AE65-(+AE65*W66)),IF(T66="Impacto",(P65-(+P65*W66)),IF(T66="Probabilidad",AE65,""))),"")</f>
        <v/>
      </c>
      <c r="AF66" s="132" t="str">
        <f t="shared" si="8"/>
        <v/>
      </c>
      <c r="AG66" s="133"/>
      <c r="AH66" s="134"/>
      <c r="AI66" s="135"/>
      <c r="AJ66" s="136"/>
      <c r="AK66" s="136"/>
      <c r="AL66" s="134"/>
      <c r="AM66" s="135"/>
    </row>
    <row r="67" spans="1:71" ht="68.45" customHeight="1" x14ac:dyDescent="0.25">
      <c r="A67" s="217"/>
      <c r="B67" s="208"/>
      <c r="C67" s="208"/>
      <c r="D67" s="208"/>
      <c r="E67" s="140"/>
      <c r="F67" s="208"/>
      <c r="G67" s="220"/>
      <c r="H67" s="220"/>
      <c r="I67" s="208"/>
      <c r="J67" s="211"/>
      <c r="K67" s="214"/>
      <c r="L67" s="226"/>
      <c r="M67" s="229"/>
      <c r="N67" s="226">
        <f ca="1">IF(NOT(ISERROR(MATCH(M67,_xlfn.ANCHORARRAY(F78),0))),L80&amp;"Por favor no seleccionar los criterios de impacto",M67)</f>
        <v>0</v>
      </c>
      <c r="O67" s="214"/>
      <c r="P67" s="226"/>
      <c r="Q67" s="223"/>
      <c r="R67" s="124">
        <v>3</v>
      </c>
      <c r="S67" s="137"/>
      <c r="T67" s="126" t="str">
        <f t="shared" si="3"/>
        <v/>
      </c>
      <c r="U67" s="127"/>
      <c r="V67" s="127"/>
      <c r="W67" s="128" t="str">
        <f t="shared" si="6"/>
        <v/>
      </c>
      <c r="X67" s="127"/>
      <c r="Y67" s="127"/>
      <c r="Z67" s="127"/>
      <c r="AA67" s="129" t="str">
        <f>IFERROR(IF(AND(T66="Probabilidad",T67="Probabilidad"),(AC66-(+AC66*W67)),IF(AND(T66="Impacto",T67="Probabilidad"),(AC65-(+AC65*W67)),IF(T67="Impacto",AC66,""))),"")</f>
        <v/>
      </c>
      <c r="AB67" s="130" t="str">
        <f t="shared" si="4"/>
        <v/>
      </c>
      <c r="AC67" s="131" t="str">
        <f t="shared" si="7"/>
        <v/>
      </c>
      <c r="AD67" s="130" t="str">
        <f t="shared" si="5"/>
        <v/>
      </c>
      <c r="AE67" s="138" t="str">
        <f>IFERROR(IF(AND(T66="Impacto",T67="Impacto"),(AE66-(+AE66*W67)),IF(AND(T66="Probabilidad",T67="Impacto"),(AE65-(+AE65*W67)),IF(T67="Probabilidad",AE66,""))),"")</f>
        <v/>
      </c>
      <c r="AF67" s="132" t="str">
        <f t="shared" si="8"/>
        <v/>
      </c>
      <c r="AG67" s="133"/>
      <c r="AH67" s="134"/>
      <c r="AI67" s="135"/>
      <c r="AJ67" s="136"/>
      <c r="AK67" s="136"/>
      <c r="AL67" s="134"/>
      <c r="AM67" s="135"/>
    </row>
    <row r="68" spans="1:71" ht="68.45" customHeight="1" x14ac:dyDescent="0.25">
      <c r="A68" s="217"/>
      <c r="B68" s="208"/>
      <c r="C68" s="208"/>
      <c r="D68" s="208"/>
      <c r="E68" s="140"/>
      <c r="F68" s="208"/>
      <c r="G68" s="220"/>
      <c r="H68" s="220"/>
      <c r="I68" s="208"/>
      <c r="J68" s="211"/>
      <c r="K68" s="214"/>
      <c r="L68" s="226"/>
      <c r="M68" s="229"/>
      <c r="N68" s="226">
        <f ca="1">IF(NOT(ISERROR(MATCH(M68,_xlfn.ANCHORARRAY(F79),0))),L81&amp;"Por favor no seleccionar los criterios de impacto",M68)</f>
        <v>0</v>
      </c>
      <c r="O68" s="214"/>
      <c r="P68" s="226"/>
      <c r="Q68" s="223"/>
      <c r="R68" s="124">
        <v>4</v>
      </c>
      <c r="S68" s="125"/>
      <c r="T68" s="126" t="str">
        <f t="shared" si="3"/>
        <v/>
      </c>
      <c r="U68" s="127"/>
      <c r="V68" s="127"/>
      <c r="W68" s="128" t="str">
        <f t="shared" si="6"/>
        <v/>
      </c>
      <c r="X68" s="127"/>
      <c r="Y68" s="127"/>
      <c r="Z68" s="127"/>
      <c r="AA68" s="129" t="str">
        <f>IFERROR(IF(AND(T67="Probabilidad",T68="Probabilidad"),(AC67-(+AC67*W68)),IF(AND(T67="Impacto",T68="Probabilidad"),(AC66-(+AC66*W68)),IF(T68="Impacto",AC67,""))),"")</f>
        <v/>
      </c>
      <c r="AB68" s="130" t="str">
        <f t="shared" si="4"/>
        <v/>
      </c>
      <c r="AC68" s="131" t="str">
        <f t="shared" si="7"/>
        <v/>
      </c>
      <c r="AD68" s="130" t="str">
        <f t="shared" si="5"/>
        <v/>
      </c>
      <c r="AE68" s="138" t="str">
        <f>IFERROR(IF(AND(T67="Impacto",T68="Impacto"),(AE67-(+AE67*W68)),IF(AND(T67="Probabilidad",T68="Impacto"),(AE66-(+AE66*W68)),IF(T68="Probabilidad",AE67,""))),"")</f>
        <v/>
      </c>
      <c r="AF68" s="132" t="str">
        <f t="shared" si="8"/>
        <v/>
      </c>
      <c r="AG68" s="133"/>
      <c r="AH68" s="134"/>
      <c r="AI68" s="135"/>
      <c r="AJ68" s="136"/>
      <c r="AK68" s="136"/>
      <c r="AL68" s="134"/>
      <c r="AM68" s="135"/>
    </row>
    <row r="69" spans="1:71" ht="68.45" customHeight="1" x14ac:dyDescent="0.25">
      <c r="A69" s="217"/>
      <c r="B69" s="208"/>
      <c r="C69" s="208"/>
      <c r="D69" s="208"/>
      <c r="E69" s="140"/>
      <c r="F69" s="208"/>
      <c r="G69" s="220"/>
      <c r="H69" s="220"/>
      <c r="I69" s="208"/>
      <c r="J69" s="211"/>
      <c r="K69" s="214"/>
      <c r="L69" s="226"/>
      <c r="M69" s="229"/>
      <c r="N69" s="226">
        <f ca="1">IF(NOT(ISERROR(MATCH(M69,_xlfn.ANCHORARRAY(F80),0))),L82&amp;"Por favor no seleccionar los criterios de impacto",M69)</f>
        <v>0</v>
      </c>
      <c r="O69" s="214"/>
      <c r="P69" s="226"/>
      <c r="Q69" s="223"/>
      <c r="R69" s="124">
        <v>5</v>
      </c>
      <c r="S69" s="125"/>
      <c r="T69" s="126" t="str">
        <f t="shared" si="3"/>
        <v/>
      </c>
      <c r="U69" s="127"/>
      <c r="V69" s="127"/>
      <c r="W69" s="128" t="str">
        <f t="shared" si="6"/>
        <v/>
      </c>
      <c r="X69" s="127"/>
      <c r="Y69" s="127"/>
      <c r="Z69" s="127"/>
      <c r="AA69" s="129" t="str">
        <f>IFERROR(IF(AND(T68="Probabilidad",T69="Probabilidad"),(AC68-(+AC68*W69)),IF(AND(T68="Impacto",T69="Probabilidad"),(AC67-(+AC67*W69)),IF(T69="Impacto",AC68,""))),"")</f>
        <v/>
      </c>
      <c r="AB69" s="130" t="str">
        <f t="shared" si="4"/>
        <v/>
      </c>
      <c r="AC69" s="131" t="str">
        <f t="shared" si="7"/>
        <v/>
      </c>
      <c r="AD69" s="130" t="str">
        <f t="shared" si="5"/>
        <v/>
      </c>
      <c r="AE69" s="138" t="str">
        <f>IFERROR(IF(AND(T68="Impacto",T69="Impacto"),(AE68-(+AE68*W69)),IF(AND(T68="Probabilidad",T69="Impacto"),(AE67-(+AE67*W69)),IF(T69="Probabilidad",AE68,""))),"")</f>
        <v/>
      </c>
      <c r="AF69" s="132" t="str">
        <f t="shared" si="8"/>
        <v/>
      </c>
      <c r="AG69" s="133"/>
      <c r="AH69" s="134"/>
      <c r="AI69" s="135"/>
      <c r="AJ69" s="136"/>
      <c r="AK69" s="136"/>
      <c r="AL69" s="134"/>
      <c r="AM69" s="135"/>
    </row>
    <row r="70" spans="1:71" ht="68.45" customHeight="1" x14ac:dyDescent="0.25">
      <c r="A70" s="218"/>
      <c r="B70" s="209"/>
      <c r="C70" s="209"/>
      <c r="D70" s="209"/>
      <c r="E70" s="141"/>
      <c r="F70" s="209"/>
      <c r="G70" s="221"/>
      <c r="H70" s="221"/>
      <c r="I70" s="209"/>
      <c r="J70" s="212"/>
      <c r="K70" s="215"/>
      <c r="L70" s="227"/>
      <c r="M70" s="230"/>
      <c r="N70" s="227">
        <f ca="1">IF(NOT(ISERROR(MATCH(M70,_xlfn.ANCHORARRAY(F81),0))),L83&amp;"Por favor no seleccionar los criterios de impacto",M70)</f>
        <v>0</v>
      </c>
      <c r="O70" s="215"/>
      <c r="P70" s="227"/>
      <c r="Q70" s="224"/>
      <c r="R70" s="124">
        <v>6</v>
      </c>
      <c r="S70" s="125"/>
      <c r="T70" s="126" t="str">
        <f t="shared" si="3"/>
        <v/>
      </c>
      <c r="U70" s="127"/>
      <c r="V70" s="127"/>
      <c r="W70" s="128" t="str">
        <f t="shared" si="6"/>
        <v/>
      </c>
      <c r="X70" s="127"/>
      <c r="Y70" s="127"/>
      <c r="Z70" s="127"/>
      <c r="AA70" s="129" t="str">
        <f>IFERROR(IF(AND(T69="Probabilidad",T70="Probabilidad"),(AC69-(+AC69*W70)),IF(AND(T69="Impacto",T70="Probabilidad"),(AC68-(+AC68*W70)),IF(T70="Impacto",AC69,""))),"")</f>
        <v/>
      </c>
      <c r="AB70" s="130" t="str">
        <f t="shared" si="4"/>
        <v/>
      </c>
      <c r="AC70" s="131" t="str">
        <f t="shared" si="7"/>
        <v/>
      </c>
      <c r="AD70" s="130" t="str">
        <f t="shared" si="5"/>
        <v/>
      </c>
      <c r="AE70" s="138" t="str">
        <f>IFERROR(IF(AND(T69="Impacto",T70="Impacto"),(AE69-(+AE69*W70)),IF(AND(T69="Probabilidad",T70="Impacto"),(AE68-(+AE68*W70)),IF(T70="Probabilidad",AE69,""))),"")</f>
        <v/>
      </c>
      <c r="AF70" s="132" t="str">
        <f t="shared" si="8"/>
        <v/>
      </c>
      <c r="AG70" s="133"/>
      <c r="AH70" s="134"/>
      <c r="AI70" s="135"/>
      <c r="AJ70" s="136"/>
      <c r="AK70" s="136"/>
      <c r="AL70" s="134"/>
      <c r="AM70" s="135"/>
    </row>
    <row r="71" spans="1:71" ht="49.6" customHeight="1" x14ac:dyDescent="0.25">
      <c r="A71" s="6"/>
      <c r="B71" s="245"/>
      <c r="C71" s="245"/>
      <c r="D71" s="245"/>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6"/>
    </row>
    <row r="73" spans="1:71" x14ac:dyDescent="0.25">
      <c r="A73" s="1"/>
      <c r="B73" s="23"/>
      <c r="C73" s="23"/>
      <c r="D73" s="1"/>
      <c r="E73" s="1"/>
      <c r="G73" s="1"/>
      <c r="H73" s="1"/>
      <c r="I73" s="1"/>
    </row>
  </sheetData>
  <dataConsolidate/>
  <mergeCells count="211">
    <mergeCell ref="C17:C22"/>
    <mergeCell ref="C23:C28"/>
    <mergeCell ref="C29:C34"/>
    <mergeCell ref="C35:C40"/>
    <mergeCell ref="C41:C46"/>
    <mergeCell ref="C47:C52"/>
    <mergeCell ref="C53:C58"/>
    <mergeCell ref="C59:C64"/>
    <mergeCell ref="C65:C70"/>
    <mergeCell ref="Q47:Q52"/>
    <mergeCell ref="I53:I58"/>
    <mergeCell ref="J53:J58"/>
    <mergeCell ref="K53:K58"/>
    <mergeCell ref="L53:L58"/>
    <mergeCell ref="M53:M58"/>
    <mergeCell ref="I47:I52"/>
    <mergeCell ref="J47:J52"/>
    <mergeCell ref="K47:K52"/>
    <mergeCell ref="L47:L52"/>
    <mergeCell ref="N53:N58"/>
    <mergeCell ref="O53:O58"/>
    <mergeCell ref="P53:P58"/>
    <mergeCell ref="Q53:Q58"/>
    <mergeCell ref="R4:T4"/>
    <mergeCell ref="A1:AM2"/>
    <mergeCell ref="A8:J8"/>
    <mergeCell ref="K8:Q8"/>
    <mergeCell ref="R8:Z8"/>
    <mergeCell ref="AA8:AG8"/>
    <mergeCell ref="AH8:AM8"/>
    <mergeCell ref="AH9:AH10"/>
    <mergeCell ref="AM9:AM10"/>
    <mergeCell ref="AL9:AL10"/>
    <mergeCell ref="AK9:AK10"/>
    <mergeCell ref="AJ9:AJ10"/>
    <mergeCell ref="AI9:AI10"/>
    <mergeCell ref="A9:A10"/>
    <mergeCell ref="I9:I10"/>
    <mergeCell ref="H9:H10"/>
    <mergeCell ref="F9:F10"/>
    <mergeCell ref="C9:C10"/>
    <mergeCell ref="AG9:AG10"/>
    <mergeCell ref="D6:Q6"/>
    <mergeCell ref="D7:Q7"/>
    <mergeCell ref="R9:R10"/>
    <mergeCell ref="AF9:AF10"/>
    <mergeCell ref="AE9:AE10"/>
    <mergeCell ref="A59:A64"/>
    <mergeCell ref="B59:B64"/>
    <mergeCell ref="F59:F64"/>
    <mergeCell ref="H59:H64"/>
    <mergeCell ref="I59:I64"/>
    <mergeCell ref="R5:T5"/>
    <mergeCell ref="B9:B10"/>
    <mergeCell ref="E9:E10"/>
    <mergeCell ref="G9:G10"/>
    <mergeCell ref="D9:D10"/>
    <mergeCell ref="G17:G22"/>
    <mergeCell ref="G23:G28"/>
    <mergeCell ref="G29:G34"/>
    <mergeCell ref="G35:G40"/>
    <mergeCell ref="G41:G46"/>
    <mergeCell ref="G47:G52"/>
    <mergeCell ref="G53:G58"/>
    <mergeCell ref="G59:G64"/>
    <mergeCell ref="D17:D22"/>
    <mergeCell ref="D23:D28"/>
    <mergeCell ref="D29:D34"/>
    <mergeCell ref="D35:D40"/>
    <mergeCell ref="D41:D46"/>
    <mergeCell ref="D47:D52"/>
    <mergeCell ref="A65:A70"/>
    <mergeCell ref="B65:B70"/>
    <mergeCell ref="F65:F70"/>
    <mergeCell ref="H65:H70"/>
    <mergeCell ref="I65:I70"/>
    <mergeCell ref="J65:J70"/>
    <mergeCell ref="K65:K70"/>
    <mergeCell ref="L65:L70"/>
    <mergeCell ref="M65:M70"/>
    <mergeCell ref="D65:D70"/>
    <mergeCell ref="G65:G70"/>
    <mergeCell ref="J41:J46"/>
    <mergeCell ref="K41:K46"/>
    <mergeCell ref="L41:L46"/>
    <mergeCell ref="N35:N40"/>
    <mergeCell ref="O35:O40"/>
    <mergeCell ref="Q35:Q40"/>
    <mergeCell ref="Q41:Q46"/>
    <mergeCell ref="O41:O46"/>
    <mergeCell ref="B71:AM71"/>
    <mergeCell ref="P59:P64"/>
    <mergeCell ref="Q59:Q64"/>
    <mergeCell ref="N65:N70"/>
    <mergeCell ref="O65:O70"/>
    <mergeCell ref="P65:P70"/>
    <mergeCell ref="Q65:Q70"/>
    <mergeCell ref="M59:M64"/>
    <mergeCell ref="N59:N64"/>
    <mergeCell ref="O59:O64"/>
    <mergeCell ref="D53:D58"/>
    <mergeCell ref="D59:D64"/>
    <mergeCell ref="J59:J64"/>
    <mergeCell ref="K59:K64"/>
    <mergeCell ref="L59:L64"/>
    <mergeCell ref="P47:P52"/>
    <mergeCell ref="A53:A58"/>
    <mergeCell ref="B53:B58"/>
    <mergeCell ref="F53:F58"/>
    <mergeCell ref="H53:H58"/>
    <mergeCell ref="A47:A52"/>
    <mergeCell ref="B47:B52"/>
    <mergeCell ref="F47:F52"/>
    <mergeCell ref="H47:H52"/>
    <mergeCell ref="P35:P40"/>
    <mergeCell ref="P41:P46"/>
    <mergeCell ref="M47:M52"/>
    <mergeCell ref="N47:N52"/>
    <mergeCell ref="O47:O52"/>
    <mergeCell ref="A35:A40"/>
    <mergeCell ref="B35:B40"/>
    <mergeCell ref="A41:A46"/>
    <mergeCell ref="B41:B46"/>
    <mergeCell ref="F41:F46"/>
    <mergeCell ref="H41:H46"/>
    <mergeCell ref="I41:I46"/>
    <mergeCell ref="F35:F40"/>
    <mergeCell ref="H35:H40"/>
    <mergeCell ref="M41:M46"/>
    <mergeCell ref="N41:N46"/>
    <mergeCell ref="I35:I40"/>
    <mergeCell ref="J35:J40"/>
    <mergeCell ref="K35:K40"/>
    <mergeCell ref="P23:P28"/>
    <mergeCell ref="Q23:Q28"/>
    <mergeCell ref="A29:A34"/>
    <mergeCell ref="B29:B34"/>
    <mergeCell ref="F29:F34"/>
    <mergeCell ref="H29:H34"/>
    <mergeCell ref="I29:I34"/>
    <mergeCell ref="J29:J34"/>
    <mergeCell ref="K29:K34"/>
    <mergeCell ref="L29:L34"/>
    <mergeCell ref="M29:M34"/>
    <mergeCell ref="N29:N34"/>
    <mergeCell ref="O29:O34"/>
    <mergeCell ref="P29:P34"/>
    <mergeCell ref="Q29:Q34"/>
    <mergeCell ref="L35:L40"/>
    <mergeCell ref="M35:M40"/>
    <mergeCell ref="N17:N22"/>
    <mergeCell ref="O17:O22"/>
    <mergeCell ref="P17:P22"/>
    <mergeCell ref="Q17:Q22"/>
    <mergeCell ref="A23:A28"/>
    <mergeCell ref="B23:B28"/>
    <mergeCell ref="F23:F28"/>
    <mergeCell ref="H23:H28"/>
    <mergeCell ref="I23:I28"/>
    <mergeCell ref="J23:J28"/>
    <mergeCell ref="K23:K28"/>
    <mergeCell ref="L23:L28"/>
    <mergeCell ref="M23:M28"/>
    <mergeCell ref="N23:N28"/>
    <mergeCell ref="O23:O28"/>
    <mergeCell ref="I17:I22"/>
    <mergeCell ref="J17:J22"/>
    <mergeCell ref="K17:K22"/>
    <mergeCell ref="L17:L22"/>
    <mergeCell ref="M17:M22"/>
    <mergeCell ref="A17:A22"/>
    <mergeCell ref="B17:B22"/>
    <mergeCell ref="F17:F22"/>
    <mergeCell ref="H17:H22"/>
    <mergeCell ref="AA9:AA10"/>
    <mergeCell ref="S9:S10"/>
    <mergeCell ref="AD9:AD10"/>
    <mergeCell ref="AB9:AB10"/>
    <mergeCell ref="AC9:AC10"/>
    <mergeCell ref="J9:J10"/>
    <mergeCell ref="K9:K10"/>
    <mergeCell ref="L9:L10"/>
    <mergeCell ref="O9:O10"/>
    <mergeCell ref="P9:P10"/>
    <mergeCell ref="Q9:Q10"/>
    <mergeCell ref="M9:M10"/>
    <mergeCell ref="N9:N10"/>
    <mergeCell ref="T9:T10"/>
    <mergeCell ref="U9:Z9"/>
    <mergeCell ref="D4:Q4"/>
    <mergeCell ref="I11:I16"/>
    <mergeCell ref="J11:J16"/>
    <mergeCell ref="K11:K16"/>
    <mergeCell ref="A11:A16"/>
    <mergeCell ref="B11:B16"/>
    <mergeCell ref="F11:F16"/>
    <mergeCell ref="H11:H16"/>
    <mergeCell ref="Q11:Q16"/>
    <mergeCell ref="L11:L16"/>
    <mergeCell ref="M11:M16"/>
    <mergeCell ref="N11:N16"/>
    <mergeCell ref="O11:O16"/>
    <mergeCell ref="P11:P16"/>
    <mergeCell ref="G11:G16"/>
    <mergeCell ref="D11:D16"/>
    <mergeCell ref="D5:Q5"/>
    <mergeCell ref="C11:C16"/>
    <mergeCell ref="A4:C4"/>
    <mergeCell ref="A5:C5"/>
    <mergeCell ref="A6:C6"/>
    <mergeCell ref="A7:C7"/>
  </mergeCells>
  <conditionalFormatting sqref="K11 K17">
    <cfRule type="cellIs" dxfId="230" priority="319" operator="equal">
      <formula>"Muy Alta"</formula>
    </cfRule>
    <cfRule type="cellIs" dxfId="229" priority="320" operator="equal">
      <formula>"Alta"</formula>
    </cfRule>
    <cfRule type="cellIs" dxfId="228" priority="321" operator="equal">
      <formula>"Media"</formula>
    </cfRule>
    <cfRule type="cellIs" dxfId="227" priority="322" operator="equal">
      <formula>"Baja"</formula>
    </cfRule>
    <cfRule type="cellIs" dxfId="226" priority="323" operator="equal">
      <formula>"Muy Baja"</formula>
    </cfRule>
  </conditionalFormatting>
  <conditionalFormatting sqref="O11 O17 O23 O29 O35 O41 O47 O53 O59 O65">
    <cfRule type="cellIs" dxfId="225" priority="314" operator="equal">
      <formula>"Catastrófico"</formula>
    </cfRule>
    <cfRule type="cellIs" dxfId="224" priority="315" operator="equal">
      <formula>"Mayor"</formula>
    </cfRule>
    <cfRule type="cellIs" dxfId="223" priority="316" operator="equal">
      <formula>"Moderado"</formula>
    </cfRule>
    <cfRule type="cellIs" dxfId="222" priority="317" operator="equal">
      <formula>"Menor"</formula>
    </cfRule>
    <cfRule type="cellIs" dxfId="221" priority="318" operator="equal">
      <formula>"Leve"</formula>
    </cfRule>
  </conditionalFormatting>
  <conditionalFormatting sqref="Q11">
    <cfRule type="cellIs" dxfId="220" priority="310" operator="equal">
      <formula>"Extremo"</formula>
    </cfRule>
    <cfRule type="cellIs" dxfId="219" priority="311" operator="equal">
      <formula>"Alto"</formula>
    </cfRule>
    <cfRule type="cellIs" dxfId="218" priority="312" operator="equal">
      <formula>"Moderado"</formula>
    </cfRule>
    <cfRule type="cellIs" dxfId="217" priority="313" operator="equal">
      <formula>"Bajo"</formula>
    </cfRule>
  </conditionalFormatting>
  <conditionalFormatting sqref="AB11:AB16">
    <cfRule type="cellIs" dxfId="216" priority="305" operator="equal">
      <formula>"Muy Alta"</formula>
    </cfRule>
    <cfRule type="cellIs" dxfId="215" priority="306" operator="equal">
      <formula>"Alta"</formula>
    </cfRule>
    <cfRule type="cellIs" dxfId="214" priority="307" operator="equal">
      <formula>"Media"</formula>
    </cfRule>
    <cfRule type="cellIs" dxfId="213" priority="308" operator="equal">
      <formula>"Baja"</formula>
    </cfRule>
    <cfRule type="cellIs" dxfId="212" priority="309" operator="equal">
      <formula>"Muy Baja"</formula>
    </cfRule>
  </conditionalFormatting>
  <conditionalFormatting sqref="AD11:AD16">
    <cfRule type="cellIs" dxfId="211" priority="300" operator="equal">
      <formula>"Catastrófico"</formula>
    </cfRule>
    <cfRule type="cellIs" dxfId="210" priority="301" operator="equal">
      <formula>"Mayor"</formula>
    </cfRule>
    <cfRule type="cellIs" dxfId="209" priority="302" operator="equal">
      <formula>"Moderado"</formula>
    </cfRule>
    <cfRule type="cellIs" dxfId="208" priority="303" operator="equal">
      <formula>"Menor"</formula>
    </cfRule>
    <cfRule type="cellIs" dxfId="207" priority="304" operator="equal">
      <formula>"Leve"</formula>
    </cfRule>
  </conditionalFormatting>
  <conditionalFormatting sqref="AF11:AF16">
    <cfRule type="cellIs" dxfId="206" priority="296" operator="equal">
      <formula>"Extremo"</formula>
    </cfRule>
    <cfRule type="cellIs" dxfId="205" priority="297" operator="equal">
      <formula>"Alto"</formula>
    </cfRule>
    <cfRule type="cellIs" dxfId="204" priority="298" operator="equal">
      <formula>"Moderado"</formula>
    </cfRule>
    <cfRule type="cellIs" dxfId="203" priority="299" operator="equal">
      <formula>"Bajo"</formula>
    </cfRule>
  </conditionalFormatting>
  <conditionalFormatting sqref="K59">
    <cfRule type="cellIs" dxfId="202" priority="53" operator="equal">
      <formula>"Muy Alta"</formula>
    </cfRule>
    <cfRule type="cellIs" dxfId="201" priority="54" operator="equal">
      <formula>"Alta"</formula>
    </cfRule>
    <cfRule type="cellIs" dxfId="200" priority="55" operator="equal">
      <formula>"Media"</formula>
    </cfRule>
    <cfRule type="cellIs" dxfId="199" priority="56" operator="equal">
      <formula>"Baja"</formula>
    </cfRule>
    <cfRule type="cellIs" dxfId="198" priority="57" operator="equal">
      <formula>"Muy Baja"</formula>
    </cfRule>
  </conditionalFormatting>
  <conditionalFormatting sqref="Q17">
    <cfRule type="cellIs" dxfId="197" priority="240" operator="equal">
      <formula>"Extremo"</formula>
    </cfRule>
    <cfRule type="cellIs" dxfId="196" priority="241" operator="equal">
      <formula>"Alto"</formula>
    </cfRule>
    <cfRule type="cellIs" dxfId="195" priority="242" operator="equal">
      <formula>"Moderado"</formula>
    </cfRule>
    <cfRule type="cellIs" dxfId="194" priority="243" operator="equal">
      <formula>"Bajo"</formula>
    </cfRule>
  </conditionalFormatting>
  <conditionalFormatting sqref="AB17:AB22">
    <cfRule type="cellIs" dxfId="193" priority="235" operator="equal">
      <formula>"Muy Alta"</formula>
    </cfRule>
    <cfRule type="cellIs" dxfId="192" priority="236" operator="equal">
      <formula>"Alta"</formula>
    </cfRule>
    <cfRule type="cellIs" dxfId="191" priority="237" operator="equal">
      <formula>"Media"</formula>
    </cfRule>
    <cfRule type="cellIs" dxfId="190" priority="238" operator="equal">
      <formula>"Baja"</formula>
    </cfRule>
    <cfRule type="cellIs" dxfId="189" priority="239" operator="equal">
      <formula>"Muy Baja"</formula>
    </cfRule>
  </conditionalFormatting>
  <conditionalFormatting sqref="AD17:AD22">
    <cfRule type="cellIs" dxfId="188" priority="230" operator="equal">
      <formula>"Catastrófico"</formula>
    </cfRule>
    <cfRule type="cellIs" dxfId="187" priority="231" operator="equal">
      <formula>"Mayor"</formula>
    </cfRule>
    <cfRule type="cellIs" dxfId="186" priority="232" operator="equal">
      <formula>"Moderado"</formula>
    </cfRule>
    <cfRule type="cellIs" dxfId="185" priority="233" operator="equal">
      <formula>"Menor"</formula>
    </cfRule>
    <cfRule type="cellIs" dxfId="184" priority="234" operator="equal">
      <formula>"Leve"</formula>
    </cfRule>
  </conditionalFormatting>
  <conditionalFormatting sqref="AF17:AF22">
    <cfRule type="cellIs" dxfId="183" priority="226" operator="equal">
      <formula>"Extremo"</formula>
    </cfRule>
    <cfRule type="cellIs" dxfId="182" priority="227" operator="equal">
      <formula>"Alto"</formula>
    </cfRule>
    <cfRule type="cellIs" dxfId="181" priority="228" operator="equal">
      <formula>"Moderado"</formula>
    </cfRule>
    <cfRule type="cellIs" dxfId="180" priority="229" operator="equal">
      <formula>"Bajo"</formula>
    </cfRule>
  </conditionalFormatting>
  <conditionalFormatting sqref="K23">
    <cfRule type="cellIs" dxfId="179" priority="221" operator="equal">
      <formula>"Muy Alta"</formula>
    </cfRule>
    <cfRule type="cellIs" dxfId="178" priority="222" operator="equal">
      <formula>"Alta"</formula>
    </cfRule>
    <cfRule type="cellIs" dxfId="177" priority="223" operator="equal">
      <formula>"Media"</formula>
    </cfRule>
    <cfRule type="cellIs" dxfId="176" priority="224" operator="equal">
      <formula>"Baja"</formula>
    </cfRule>
    <cfRule type="cellIs" dxfId="175" priority="225" operator="equal">
      <formula>"Muy Baja"</formula>
    </cfRule>
  </conditionalFormatting>
  <conditionalFormatting sqref="Q23">
    <cfRule type="cellIs" dxfId="174" priority="212" operator="equal">
      <formula>"Extremo"</formula>
    </cfRule>
    <cfRule type="cellIs" dxfId="173" priority="213" operator="equal">
      <formula>"Alto"</formula>
    </cfRule>
    <cfRule type="cellIs" dxfId="172" priority="214" operator="equal">
      <formula>"Moderado"</formula>
    </cfRule>
    <cfRule type="cellIs" dxfId="171" priority="215" operator="equal">
      <formula>"Bajo"</formula>
    </cfRule>
  </conditionalFormatting>
  <conditionalFormatting sqref="AB23:AB28">
    <cfRule type="cellIs" dxfId="170" priority="207" operator="equal">
      <formula>"Muy Alta"</formula>
    </cfRule>
    <cfRule type="cellIs" dxfId="169" priority="208" operator="equal">
      <formula>"Alta"</formula>
    </cfRule>
    <cfRule type="cellIs" dxfId="168" priority="209" operator="equal">
      <formula>"Media"</formula>
    </cfRule>
    <cfRule type="cellIs" dxfId="167" priority="210" operator="equal">
      <formula>"Baja"</formula>
    </cfRule>
    <cfRule type="cellIs" dxfId="166" priority="211" operator="equal">
      <formula>"Muy Baja"</formula>
    </cfRule>
  </conditionalFormatting>
  <conditionalFormatting sqref="AD23:AD28">
    <cfRule type="cellIs" dxfId="165" priority="202" operator="equal">
      <formula>"Catastrófico"</formula>
    </cfRule>
    <cfRule type="cellIs" dxfId="164" priority="203" operator="equal">
      <formula>"Mayor"</formula>
    </cfRule>
    <cfRule type="cellIs" dxfId="163" priority="204" operator="equal">
      <formula>"Moderado"</formula>
    </cfRule>
    <cfRule type="cellIs" dxfId="162" priority="205" operator="equal">
      <formula>"Menor"</formula>
    </cfRule>
    <cfRule type="cellIs" dxfId="161" priority="206" operator="equal">
      <formula>"Leve"</formula>
    </cfRule>
  </conditionalFormatting>
  <conditionalFormatting sqref="AF23:AF28">
    <cfRule type="cellIs" dxfId="160" priority="198" operator="equal">
      <formula>"Extremo"</formula>
    </cfRule>
    <cfRule type="cellIs" dxfId="159" priority="199" operator="equal">
      <formula>"Alto"</formula>
    </cfRule>
    <cfRule type="cellIs" dxfId="158" priority="200" operator="equal">
      <formula>"Moderado"</formula>
    </cfRule>
    <cfRule type="cellIs" dxfId="157" priority="201" operator="equal">
      <formula>"Bajo"</formula>
    </cfRule>
  </conditionalFormatting>
  <conditionalFormatting sqref="K29">
    <cfRule type="cellIs" dxfId="156" priority="193" operator="equal">
      <formula>"Muy Alta"</formula>
    </cfRule>
    <cfRule type="cellIs" dxfId="155" priority="194" operator="equal">
      <formula>"Alta"</formula>
    </cfRule>
    <cfRule type="cellIs" dxfId="154" priority="195" operator="equal">
      <formula>"Media"</formula>
    </cfRule>
    <cfRule type="cellIs" dxfId="153" priority="196" operator="equal">
      <formula>"Baja"</formula>
    </cfRule>
    <cfRule type="cellIs" dxfId="152" priority="197" operator="equal">
      <formula>"Muy Baja"</formula>
    </cfRule>
  </conditionalFormatting>
  <conditionalFormatting sqref="Q29">
    <cfRule type="cellIs" dxfId="151" priority="184" operator="equal">
      <formula>"Extremo"</formula>
    </cfRule>
    <cfRule type="cellIs" dxfId="150" priority="185" operator="equal">
      <formula>"Alto"</formula>
    </cfRule>
    <cfRule type="cellIs" dxfId="149" priority="186" operator="equal">
      <formula>"Moderado"</formula>
    </cfRule>
    <cfRule type="cellIs" dxfId="148" priority="187" operator="equal">
      <formula>"Bajo"</formula>
    </cfRule>
  </conditionalFormatting>
  <conditionalFormatting sqref="AB29:AB34">
    <cfRule type="cellIs" dxfId="147" priority="179" operator="equal">
      <formula>"Muy Alta"</formula>
    </cfRule>
    <cfRule type="cellIs" dxfId="146" priority="180" operator="equal">
      <formula>"Alta"</formula>
    </cfRule>
    <cfRule type="cellIs" dxfId="145" priority="181" operator="equal">
      <formula>"Media"</formula>
    </cfRule>
    <cfRule type="cellIs" dxfId="144" priority="182" operator="equal">
      <formula>"Baja"</formula>
    </cfRule>
    <cfRule type="cellIs" dxfId="143" priority="183" operator="equal">
      <formula>"Muy Baja"</formula>
    </cfRule>
  </conditionalFormatting>
  <conditionalFormatting sqref="AD29:AD34">
    <cfRule type="cellIs" dxfId="142" priority="174" operator="equal">
      <formula>"Catastrófico"</formula>
    </cfRule>
    <cfRule type="cellIs" dxfId="141" priority="175" operator="equal">
      <formula>"Mayor"</formula>
    </cfRule>
    <cfRule type="cellIs" dxfId="140" priority="176" operator="equal">
      <formula>"Moderado"</formula>
    </cfRule>
    <cfRule type="cellIs" dxfId="139" priority="177" operator="equal">
      <formula>"Menor"</formula>
    </cfRule>
    <cfRule type="cellIs" dxfId="138" priority="178" operator="equal">
      <formula>"Leve"</formula>
    </cfRule>
  </conditionalFormatting>
  <conditionalFormatting sqref="AF29:AF34">
    <cfRule type="cellIs" dxfId="137" priority="170" operator="equal">
      <formula>"Extremo"</formula>
    </cfRule>
    <cfRule type="cellIs" dxfId="136" priority="171" operator="equal">
      <formula>"Alto"</formula>
    </cfRule>
    <cfRule type="cellIs" dxfId="135" priority="172" operator="equal">
      <formula>"Moderado"</formula>
    </cfRule>
    <cfRule type="cellIs" dxfId="134" priority="173" operator="equal">
      <formula>"Bajo"</formula>
    </cfRule>
  </conditionalFormatting>
  <conditionalFormatting sqref="K35">
    <cfRule type="cellIs" dxfId="133" priority="165" operator="equal">
      <formula>"Muy Alta"</formula>
    </cfRule>
    <cfRule type="cellIs" dxfId="132" priority="166" operator="equal">
      <formula>"Alta"</formula>
    </cfRule>
    <cfRule type="cellIs" dxfId="131" priority="167" operator="equal">
      <formula>"Media"</formula>
    </cfRule>
    <cfRule type="cellIs" dxfId="130" priority="168" operator="equal">
      <formula>"Baja"</formula>
    </cfRule>
    <cfRule type="cellIs" dxfId="129" priority="169" operator="equal">
      <formula>"Muy Baja"</formula>
    </cfRule>
  </conditionalFormatting>
  <conditionalFormatting sqref="Q35">
    <cfRule type="cellIs" dxfId="128" priority="156" operator="equal">
      <formula>"Extremo"</formula>
    </cfRule>
    <cfRule type="cellIs" dxfId="127" priority="157" operator="equal">
      <formula>"Alto"</formula>
    </cfRule>
    <cfRule type="cellIs" dxfId="126" priority="158" operator="equal">
      <formula>"Moderado"</formula>
    </cfRule>
    <cfRule type="cellIs" dxfId="125" priority="159" operator="equal">
      <formula>"Bajo"</formula>
    </cfRule>
  </conditionalFormatting>
  <conditionalFormatting sqref="AB35:AB40">
    <cfRule type="cellIs" dxfId="124" priority="151" operator="equal">
      <formula>"Muy Alta"</formula>
    </cfRule>
    <cfRule type="cellIs" dxfId="123" priority="152" operator="equal">
      <formula>"Alta"</formula>
    </cfRule>
    <cfRule type="cellIs" dxfId="122" priority="153" operator="equal">
      <formula>"Media"</formula>
    </cfRule>
    <cfRule type="cellIs" dxfId="121" priority="154" operator="equal">
      <formula>"Baja"</formula>
    </cfRule>
    <cfRule type="cellIs" dxfId="120" priority="155" operator="equal">
      <formula>"Muy Baja"</formula>
    </cfRule>
  </conditionalFormatting>
  <conditionalFormatting sqref="AD35:AD40">
    <cfRule type="cellIs" dxfId="119" priority="146" operator="equal">
      <formula>"Catastrófico"</formula>
    </cfRule>
    <cfRule type="cellIs" dxfId="118" priority="147" operator="equal">
      <formula>"Mayor"</formula>
    </cfRule>
    <cfRule type="cellIs" dxfId="117" priority="148" operator="equal">
      <formula>"Moderado"</formula>
    </cfRule>
    <cfRule type="cellIs" dxfId="116" priority="149" operator="equal">
      <formula>"Menor"</formula>
    </cfRule>
    <cfRule type="cellIs" dxfId="115" priority="150" operator="equal">
      <formula>"Leve"</formula>
    </cfRule>
  </conditionalFormatting>
  <conditionalFormatting sqref="AF35:AF40">
    <cfRule type="cellIs" dxfId="114" priority="142" operator="equal">
      <formula>"Extremo"</formula>
    </cfRule>
    <cfRule type="cellIs" dxfId="113" priority="143" operator="equal">
      <formula>"Alto"</formula>
    </cfRule>
    <cfRule type="cellIs" dxfId="112" priority="144" operator="equal">
      <formula>"Moderado"</formula>
    </cfRule>
    <cfRule type="cellIs" dxfId="111" priority="145" operator="equal">
      <formula>"Bajo"</formula>
    </cfRule>
  </conditionalFormatting>
  <conditionalFormatting sqref="K41">
    <cfRule type="cellIs" dxfId="110" priority="137" operator="equal">
      <formula>"Muy Alta"</formula>
    </cfRule>
    <cfRule type="cellIs" dxfId="109" priority="138" operator="equal">
      <formula>"Alta"</formula>
    </cfRule>
    <cfRule type="cellIs" dxfId="108" priority="139" operator="equal">
      <formula>"Media"</formula>
    </cfRule>
    <cfRule type="cellIs" dxfId="107" priority="140" operator="equal">
      <formula>"Baja"</formula>
    </cfRule>
    <cfRule type="cellIs" dxfId="106" priority="141" operator="equal">
      <formula>"Muy Baja"</formula>
    </cfRule>
  </conditionalFormatting>
  <conditionalFormatting sqref="Q41">
    <cfRule type="cellIs" dxfId="105" priority="128" operator="equal">
      <formula>"Extremo"</formula>
    </cfRule>
    <cfRule type="cellIs" dxfId="104" priority="129" operator="equal">
      <formula>"Alto"</formula>
    </cfRule>
    <cfRule type="cellIs" dxfId="103" priority="130" operator="equal">
      <formula>"Moderado"</formula>
    </cfRule>
    <cfRule type="cellIs" dxfId="102" priority="131" operator="equal">
      <formula>"Bajo"</formula>
    </cfRule>
  </conditionalFormatting>
  <conditionalFormatting sqref="AB41:AB46">
    <cfRule type="cellIs" dxfId="101" priority="123" operator="equal">
      <formula>"Muy Alta"</formula>
    </cfRule>
    <cfRule type="cellIs" dxfId="100" priority="124" operator="equal">
      <formula>"Alta"</formula>
    </cfRule>
    <cfRule type="cellIs" dxfId="99" priority="125" operator="equal">
      <formula>"Media"</formula>
    </cfRule>
    <cfRule type="cellIs" dxfId="98" priority="126" operator="equal">
      <formula>"Baja"</formula>
    </cfRule>
    <cfRule type="cellIs" dxfId="97" priority="127" operator="equal">
      <formula>"Muy Baja"</formula>
    </cfRule>
  </conditionalFormatting>
  <conditionalFormatting sqref="AD41:AD46">
    <cfRule type="cellIs" dxfId="96" priority="118" operator="equal">
      <formula>"Catastrófico"</formula>
    </cfRule>
    <cfRule type="cellIs" dxfId="95" priority="119" operator="equal">
      <formula>"Mayor"</formula>
    </cfRule>
    <cfRule type="cellIs" dxfId="94" priority="120" operator="equal">
      <formula>"Moderado"</formula>
    </cfRule>
    <cfRule type="cellIs" dxfId="93" priority="121" operator="equal">
      <formula>"Menor"</formula>
    </cfRule>
    <cfRule type="cellIs" dxfId="92" priority="122" operator="equal">
      <formula>"Leve"</formula>
    </cfRule>
  </conditionalFormatting>
  <conditionalFormatting sqref="AF41:AF46">
    <cfRule type="cellIs" dxfId="91" priority="114" operator="equal">
      <formula>"Extremo"</formula>
    </cfRule>
    <cfRule type="cellIs" dxfId="90" priority="115" operator="equal">
      <formula>"Alto"</formula>
    </cfRule>
    <cfRule type="cellIs" dxfId="89" priority="116" operator="equal">
      <formula>"Moderado"</formula>
    </cfRule>
    <cfRule type="cellIs" dxfId="88" priority="117" operator="equal">
      <formula>"Bajo"</formula>
    </cfRule>
  </conditionalFormatting>
  <conditionalFormatting sqref="K47">
    <cfRule type="cellIs" dxfId="87" priority="109" operator="equal">
      <formula>"Muy Alta"</formula>
    </cfRule>
    <cfRule type="cellIs" dxfId="86" priority="110" operator="equal">
      <formula>"Alta"</formula>
    </cfRule>
    <cfRule type="cellIs" dxfId="85" priority="111" operator="equal">
      <formula>"Media"</formula>
    </cfRule>
    <cfRule type="cellIs" dxfId="84" priority="112" operator="equal">
      <formula>"Baja"</formula>
    </cfRule>
    <cfRule type="cellIs" dxfId="83" priority="113" operator="equal">
      <formula>"Muy Baja"</formula>
    </cfRule>
  </conditionalFormatting>
  <conditionalFormatting sqref="Q47">
    <cfRule type="cellIs" dxfId="82" priority="100" operator="equal">
      <formula>"Extremo"</formula>
    </cfRule>
    <cfRule type="cellIs" dxfId="81" priority="101" operator="equal">
      <formula>"Alto"</formula>
    </cfRule>
    <cfRule type="cellIs" dxfId="80" priority="102" operator="equal">
      <formula>"Moderado"</formula>
    </cfRule>
    <cfRule type="cellIs" dxfId="79" priority="103" operator="equal">
      <formula>"Bajo"</formula>
    </cfRule>
  </conditionalFormatting>
  <conditionalFormatting sqref="AB47:AB52">
    <cfRule type="cellIs" dxfId="78" priority="95" operator="equal">
      <formula>"Muy Alta"</formula>
    </cfRule>
    <cfRule type="cellIs" dxfId="77" priority="96" operator="equal">
      <formula>"Alta"</formula>
    </cfRule>
    <cfRule type="cellIs" dxfId="76" priority="97" operator="equal">
      <formula>"Media"</formula>
    </cfRule>
    <cfRule type="cellIs" dxfId="75" priority="98" operator="equal">
      <formula>"Baja"</formula>
    </cfRule>
    <cfRule type="cellIs" dxfId="74" priority="99" operator="equal">
      <formula>"Muy Baja"</formula>
    </cfRule>
  </conditionalFormatting>
  <conditionalFormatting sqref="AD47:AD52">
    <cfRule type="cellIs" dxfId="73" priority="90" operator="equal">
      <formula>"Catastrófico"</formula>
    </cfRule>
    <cfRule type="cellIs" dxfId="72" priority="91" operator="equal">
      <formula>"Mayor"</formula>
    </cfRule>
    <cfRule type="cellIs" dxfId="71" priority="92" operator="equal">
      <formula>"Moderado"</formula>
    </cfRule>
    <cfRule type="cellIs" dxfId="70" priority="93" operator="equal">
      <formula>"Menor"</formula>
    </cfRule>
    <cfRule type="cellIs" dxfId="69" priority="94" operator="equal">
      <formula>"Leve"</formula>
    </cfRule>
  </conditionalFormatting>
  <conditionalFormatting sqref="AF47:AF52">
    <cfRule type="cellIs" dxfId="68" priority="86" operator="equal">
      <formula>"Extremo"</formula>
    </cfRule>
    <cfRule type="cellIs" dxfId="67" priority="87" operator="equal">
      <formula>"Alto"</formula>
    </cfRule>
    <cfRule type="cellIs" dxfId="66" priority="88" operator="equal">
      <formula>"Moderado"</formula>
    </cfRule>
    <cfRule type="cellIs" dxfId="65" priority="89" operator="equal">
      <formula>"Bajo"</formula>
    </cfRule>
  </conditionalFormatting>
  <conditionalFormatting sqref="K53">
    <cfRule type="cellIs" dxfId="64" priority="81" operator="equal">
      <formula>"Muy Alta"</formula>
    </cfRule>
    <cfRule type="cellIs" dxfId="63" priority="82" operator="equal">
      <formula>"Alta"</formula>
    </cfRule>
    <cfRule type="cellIs" dxfId="62" priority="83" operator="equal">
      <formula>"Media"</formula>
    </cfRule>
    <cfRule type="cellIs" dxfId="61" priority="84" operator="equal">
      <formula>"Baja"</formula>
    </cfRule>
    <cfRule type="cellIs" dxfId="60" priority="85" operator="equal">
      <formula>"Muy Baja"</formula>
    </cfRule>
  </conditionalFormatting>
  <conditionalFormatting sqref="Q53">
    <cfRule type="cellIs" dxfId="59" priority="72" operator="equal">
      <formula>"Extremo"</formula>
    </cfRule>
    <cfRule type="cellIs" dxfId="58" priority="73" operator="equal">
      <formula>"Alto"</formula>
    </cfRule>
    <cfRule type="cellIs" dxfId="57" priority="74" operator="equal">
      <formula>"Moderado"</formula>
    </cfRule>
    <cfRule type="cellIs" dxfId="56" priority="75" operator="equal">
      <formula>"Bajo"</formula>
    </cfRule>
  </conditionalFormatting>
  <conditionalFormatting sqref="AB53:AB58">
    <cfRule type="cellIs" dxfId="55" priority="67" operator="equal">
      <formula>"Muy Alta"</formula>
    </cfRule>
    <cfRule type="cellIs" dxfId="54" priority="68" operator="equal">
      <formula>"Alta"</formula>
    </cfRule>
    <cfRule type="cellIs" dxfId="53" priority="69" operator="equal">
      <formula>"Media"</formula>
    </cfRule>
    <cfRule type="cellIs" dxfId="52" priority="70" operator="equal">
      <formula>"Baja"</formula>
    </cfRule>
    <cfRule type="cellIs" dxfId="51" priority="71" operator="equal">
      <formula>"Muy Baja"</formula>
    </cfRule>
  </conditionalFormatting>
  <conditionalFormatting sqref="AD53:AD58">
    <cfRule type="cellIs" dxfId="50" priority="62" operator="equal">
      <formula>"Catastrófico"</formula>
    </cfRule>
    <cfRule type="cellIs" dxfId="49" priority="63" operator="equal">
      <formula>"Mayor"</formula>
    </cfRule>
    <cfRule type="cellIs" dxfId="48" priority="64" operator="equal">
      <formula>"Moderado"</formula>
    </cfRule>
    <cfRule type="cellIs" dxfId="47" priority="65" operator="equal">
      <formula>"Menor"</formula>
    </cfRule>
    <cfRule type="cellIs" dxfId="46" priority="66" operator="equal">
      <formula>"Leve"</formula>
    </cfRule>
  </conditionalFormatting>
  <conditionalFormatting sqref="AF53:AF58">
    <cfRule type="cellIs" dxfId="45" priority="58" operator="equal">
      <formula>"Extremo"</formula>
    </cfRule>
    <cfRule type="cellIs" dxfId="44" priority="59" operator="equal">
      <formula>"Alto"</formula>
    </cfRule>
    <cfRule type="cellIs" dxfId="43" priority="60" operator="equal">
      <formula>"Moderado"</formula>
    </cfRule>
    <cfRule type="cellIs" dxfId="42" priority="61" operator="equal">
      <formula>"Bajo"</formula>
    </cfRule>
  </conditionalFormatting>
  <conditionalFormatting sqref="Q59">
    <cfRule type="cellIs" dxfId="41" priority="44" operator="equal">
      <formula>"Extremo"</formula>
    </cfRule>
    <cfRule type="cellIs" dxfId="40" priority="45" operator="equal">
      <formula>"Alto"</formula>
    </cfRule>
    <cfRule type="cellIs" dxfId="39" priority="46" operator="equal">
      <formula>"Moderado"</formula>
    </cfRule>
    <cfRule type="cellIs" dxfId="38" priority="47" operator="equal">
      <formula>"Bajo"</formula>
    </cfRule>
  </conditionalFormatting>
  <conditionalFormatting sqref="AB59:AB64">
    <cfRule type="cellIs" dxfId="37" priority="39" operator="equal">
      <formula>"Muy Alta"</formula>
    </cfRule>
    <cfRule type="cellIs" dxfId="36" priority="40" operator="equal">
      <formula>"Alta"</formula>
    </cfRule>
    <cfRule type="cellIs" dxfId="35" priority="41" operator="equal">
      <formula>"Media"</formula>
    </cfRule>
    <cfRule type="cellIs" dxfId="34" priority="42" operator="equal">
      <formula>"Baja"</formula>
    </cfRule>
    <cfRule type="cellIs" dxfId="33" priority="43" operator="equal">
      <formula>"Muy Baja"</formula>
    </cfRule>
  </conditionalFormatting>
  <conditionalFormatting sqref="AD59:AD64">
    <cfRule type="cellIs" dxfId="32" priority="34" operator="equal">
      <formula>"Catastrófico"</formula>
    </cfRule>
    <cfRule type="cellIs" dxfId="31" priority="35" operator="equal">
      <formula>"Mayor"</formula>
    </cfRule>
    <cfRule type="cellIs" dxfId="30" priority="36" operator="equal">
      <formula>"Moderado"</formula>
    </cfRule>
    <cfRule type="cellIs" dxfId="29" priority="37" operator="equal">
      <formula>"Menor"</formula>
    </cfRule>
    <cfRule type="cellIs" dxfId="28" priority="38" operator="equal">
      <formula>"Leve"</formula>
    </cfRule>
  </conditionalFormatting>
  <conditionalFormatting sqref="AF59:AF64">
    <cfRule type="cellIs" dxfId="27" priority="30" operator="equal">
      <formula>"Extremo"</formula>
    </cfRule>
    <cfRule type="cellIs" dxfId="26" priority="31" operator="equal">
      <formula>"Alto"</formula>
    </cfRule>
    <cfRule type="cellIs" dxfId="25" priority="32" operator="equal">
      <formula>"Moderado"</formula>
    </cfRule>
    <cfRule type="cellIs" dxfId="24" priority="33" operator="equal">
      <formula>"Bajo"</formula>
    </cfRule>
  </conditionalFormatting>
  <conditionalFormatting sqref="K65">
    <cfRule type="cellIs" dxfId="23" priority="25" operator="equal">
      <formula>"Muy Alta"</formula>
    </cfRule>
    <cfRule type="cellIs" dxfId="22" priority="26" operator="equal">
      <formula>"Alta"</formula>
    </cfRule>
    <cfRule type="cellIs" dxfId="21" priority="27" operator="equal">
      <formula>"Media"</formula>
    </cfRule>
    <cfRule type="cellIs" dxfId="20" priority="28" operator="equal">
      <formula>"Baja"</formula>
    </cfRule>
    <cfRule type="cellIs" dxfId="19" priority="29" operator="equal">
      <formula>"Muy Baja"</formula>
    </cfRule>
  </conditionalFormatting>
  <conditionalFormatting sqref="Q65">
    <cfRule type="cellIs" dxfId="18" priority="16" operator="equal">
      <formula>"Extremo"</formula>
    </cfRule>
    <cfRule type="cellIs" dxfId="17" priority="17" operator="equal">
      <formula>"Alto"</formula>
    </cfRule>
    <cfRule type="cellIs" dxfId="16" priority="18" operator="equal">
      <formula>"Moderado"</formula>
    </cfRule>
    <cfRule type="cellIs" dxfId="15" priority="19" operator="equal">
      <formula>"Bajo"</formula>
    </cfRule>
  </conditionalFormatting>
  <conditionalFormatting sqref="AB65:AB70">
    <cfRule type="cellIs" dxfId="14" priority="11" operator="equal">
      <formula>"Muy Alta"</formula>
    </cfRule>
    <cfRule type="cellIs" dxfId="13" priority="12" operator="equal">
      <formula>"Alta"</formula>
    </cfRule>
    <cfRule type="cellIs" dxfId="12" priority="13" operator="equal">
      <formula>"Media"</formula>
    </cfRule>
    <cfRule type="cellIs" dxfId="11" priority="14" operator="equal">
      <formula>"Baja"</formula>
    </cfRule>
    <cfRule type="cellIs" dxfId="10" priority="15" operator="equal">
      <formula>"Muy Baja"</formula>
    </cfRule>
  </conditionalFormatting>
  <conditionalFormatting sqref="AD65:AD70">
    <cfRule type="cellIs" dxfId="9" priority="6" operator="equal">
      <formula>"Catastrófico"</formula>
    </cfRule>
    <cfRule type="cellIs" dxfId="8" priority="7" operator="equal">
      <formula>"Mayor"</formula>
    </cfRule>
    <cfRule type="cellIs" dxfId="7" priority="8" operator="equal">
      <formula>"Moderado"</formula>
    </cfRule>
    <cfRule type="cellIs" dxfId="6" priority="9" operator="equal">
      <formula>"Menor"</formula>
    </cfRule>
    <cfRule type="cellIs" dxfId="5" priority="10" operator="equal">
      <formula>"Leve"</formula>
    </cfRule>
  </conditionalFormatting>
  <conditionalFormatting sqref="AF65:AF70">
    <cfRule type="cellIs" dxfId="4" priority="2" operator="equal">
      <formula>"Extremo"</formula>
    </cfRule>
    <cfRule type="cellIs" dxfId="3" priority="3" operator="equal">
      <formula>"Alto"</formula>
    </cfRule>
    <cfRule type="cellIs" dxfId="2" priority="4" operator="equal">
      <formula>"Moderado"</formula>
    </cfRule>
    <cfRule type="cellIs" dxfId="1" priority="5" operator="equal">
      <formula>"Bajo"</formula>
    </cfRule>
  </conditionalFormatting>
  <conditionalFormatting sqref="N11:N70">
    <cfRule type="containsText" dxfId="0" priority="1" operator="containsText" text="❌">
      <formula>NOT(ISERROR(SEARCH("❌",N11)))</formula>
    </cfRule>
  </conditionalFormatting>
  <pageMargins left="0.7" right="0.7" top="0.75" bottom="0.75" header="0.3" footer="0.3"/>
  <pageSetup orientation="portrait" r:id="rId1"/>
  <ignoredErrors>
    <ignoredError sqref="AE13" formula="1"/>
  </ignoredErrors>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'Tabla Valoración controles'!$D$4:$D$6</xm:f>
          </x14:formula1>
          <xm:sqref>U11:U70</xm:sqref>
        </x14:dataValidation>
        <x14:dataValidation type="list" allowBlank="1" showInputMessage="1" showErrorMessage="1">
          <x14:formula1>
            <xm:f>'Tabla Valoración controles'!$D$7:$D$8</xm:f>
          </x14:formula1>
          <xm:sqref>V11:V70</xm:sqref>
        </x14:dataValidation>
        <x14:dataValidation type="list" allowBlank="1" showInputMessage="1" showErrorMessage="1">
          <x14:formula1>
            <xm:f>'Tabla Valoración controles'!$D$9:$D$10</xm:f>
          </x14:formula1>
          <xm:sqref>X11:X70</xm:sqref>
        </x14:dataValidation>
        <x14:dataValidation type="list" allowBlank="1" showInputMessage="1" showErrorMessage="1">
          <x14:formula1>
            <xm:f>'Tabla Valoración controles'!$D$11:$D$12</xm:f>
          </x14:formula1>
          <xm:sqref>Y11:Y70</xm:sqref>
        </x14:dataValidation>
        <x14:dataValidation type="list" allowBlank="1" showInputMessage="1" showErrorMessage="1">
          <x14:formula1>
            <xm:f>'Tabla Valoración controles'!$D$13:$D$14</xm:f>
          </x14:formula1>
          <xm:sqref>Z11:Z70</xm:sqref>
        </x14:dataValidation>
        <x14:dataValidation type="list" allowBlank="1" showInputMessage="1" showErrorMessage="1">
          <x14:formula1>
            <xm:f>'Opciones Tratamiento'!$E$2:$E$4</xm:f>
          </x14:formula1>
          <xm:sqref>D11:D70</xm:sqref>
        </x14:dataValidation>
        <x14:dataValidation type="list" allowBlank="1" showInputMessage="1" showErrorMessage="1">
          <x14:formula1>
            <xm:f>'Opciones Tratamiento'!$B$2:$B$5</xm:f>
          </x14:formula1>
          <xm:sqref>AG11:AG70</xm:sqref>
        </x14:dataValidation>
        <x14:dataValidation type="list" allowBlank="1" showInputMessage="1" showErrorMessage="1">
          <x14:formula1>
            <xm:f>'Tabla Impacto'!$F$210:$F$221</xm:f>
          </x14:formula1>
          <xm:sqref>M11:M70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AH11:AH70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AI11:AI70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AJ11:AJ70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AK11:AK70</xm:sqref>
        </x14:dataValidation>
        <x14:dataValidation type="custom" allowBlank="1" showInputMessage="1" showErrorMessage="1" error="Recuerde que las acciones se generan bajo la medida de mitigar el riesgo">
          <x14:formula1>
            <xm:f>IF(OR(AG11='Opciones Tratamiento'!$B$2,AG11='Opciones Tratamiento'!$B$3,AG11='Opciones Tratamiento'!$B$4),ISBLANK(AG11),ISTEXT(AG11))</xm:f>
          </x14:formula1>
          <xm:sqref>AL11:AL70</xm:sqref>
        </x14:dataValidation>
        <x14:dataValidation type="list" allowBlank="1" showInputMessage="1" showErrorMessage="1">
          <x14:formula1>
            <xm:f>Procesos!$D$16:$D$22</xm:f>
          </x14:formula1>
          <xm:sqref>D23 D11 D29 D35 D41 D47 D53 D59 D17 B11 B17 B59 B53 B47 B41 B35 B29 B23 B65 D65</xm:sqref>
        </x14:dataValidation>
        <x14:dataValidation type="list" allowBlank="1" showInputMessage="1" showErrorMessage="1">
          <x14:formula1>
            <xm:f>Procesos!$E$2:$E$27</xm:f>
          </x14:formula1>
          <xm:sqref>D5:Q5</xm:sqref>
        </x14:dataValidation>
        <x14:dataValidation type="list" allowBlank="1" showInputMessage="1" showErrorMessage="1">
          <x14:formula1>
            <xm:f>'Tabla Impacto'!$D$229:$D$237</xm:f>
          </x14:formula1>
          <xm:sqref>G11:G64</xm:sqref>
        </x14:dataValidation>
        <x14:dataValidation type="list" allowBlank="1" showInputMessage="1" showErrorMessage="1">
          <x14:formula1>
            <xm:f>'Opciones Tratamiento'!$B$9:$B$11</xm:f>
          </x14:formula1>
          <xm:sqref>AM11:AM70</xm:sqref>
        </x14:dataValidation>
        <x14:dataValidation type="list" allowBlank="1" showInputMessage="1" showErrorMessage="1">
          <x14:formula1>
            <xm:f>'Opciones Tratamiento'!$B$13:$B$19</xm:f>
          </x14:formula1>
          <xm:sqref>I11:I70</xm:sqref>
        </x14:dataValidation>
        <x14:dataValidation type="list" allowBlank="1" showInputMessage="1" showErrorMessage="1">
          <x14:formula1>
            <xm:f>Procesos!$A$2:$A$22</xm:f>
          </x14:formula1>
          <xm:sqref>D4:Q4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zoomScale="50" zoomScaleNormal="50" workbookViewId="0">
      <selection activeCell="J12" sqref="J12:K13"/>
    </sheetView>
  </sheetViews>
  <sheetFormatPr baseColWidth="10" defaultRowHeight="14.3" x14ac:dyDescent="0.25"/>
  <cols>
    <col min="2" max="39" width="5.625" customWidth="1"/>
    <col min="41" max="46" width="5.62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269" t="s">
        <v>143</v>
      </c>
      <c r="C2" s="269"/>
      <c r="D2" s="269"/>
      <c r="E2" s="269"/>
      <c r="F2" s="269"/>
      <c r="G2" s="269"/>
      <c r="H2" s="269"/>
      <c r="I2" s="269"/>
      <c r="J2" s="307" t="s">
        <v>2</v>
      </c>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 customHeight="1" x14ac:dyDescent="0.25">
      <c r="A3" s="83"/>
      <c r="B3" s="269"/>
      <c r="C3" s="269"/>
      <c r="D3" s="269"/>
      <c r="E3" s="269"/>
      <c r="F3" s="269"/>
      <c r="G3" s="269"/>
      <c r="H3" s="269"/>
      <c r="I3" s="269"/>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4.95" customHeight="1" x14ac:dyDescent="0.25">
      <c r="A4" s="83"/>
      <c r="B4" s="269"/>
      <c r="C4" s="269"/>
      <c r="D4" s="269"/>
      <c r="E4" s="269"/>
      <c r="F4" s="269"/>
      <c r="G4" s="269"/>
      <c r="H4" s="269"/>
      <c r="I4" s="269"/>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4.9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4.95" customHeight="1" x14ac:dyDescent="0.25">
      <c r="A6" s="83"/>
      <c r="B6" s="319" t="s">
        <v>3</v>
      </c>
      <c r="C6" s="319"/>
      <c r="D6" s="320"/>
      <c r="E6" s="308" t="s">
        <v>108</v>
      </c>
      <c r="F6" s="309"/>
      <c r="G6" s="309"/>
      <c r="H6" s="309"/>
      <c r="I6" s="310"/>
      <c r="J6" s="304" t="str">
        <f ca="1">IF(AND('Mapa final'!$K$11="Muy Alta",'Mapa final'!$O$11="Leve"),CONCATENATE("R",'Mapa final'!$A$11),"")</f>
        <v/>
      </c>
      <c r="K6" s="305"/>
      <c r="L6" s="305" t="str">
        <f ca="1">IF(AND('Mapa final'!$K$17="Muy Alta",'Mapa final'!$O$17="Leve"),CONCATENATE("R",'Mapa final'!$A$17),"")</f>
        <v/>
      </c>
      <c r="M6" s="305"/>
      <c r="N6" s="305" t="str">
        <f ca="1">IF(AND('Mapa final'!$K$23="Muy Alta",'Mapa final'!$O$23="Leve"),CONCATENATE("R",'Mapa final'!$A$23),"")</f>
        <v/>
      </c>
      <c r="O6" s="306"/>
      <c r="P6" s="304" t="str">
        <f ca="1">IF(AND('Mapa final'!$K$11="Muy Alta",'Mapa final'!$O$11="Menor"),CONCATENATE("R",'Mapa final'!$A$11),"")</f>
        <v/>
      </c>
      <c r="Q6" s="305"/>
      <c r="R6" s="305" t="str">
        <f ca="1">IF(AND('Mapa final'!$K$17="Muy Alta",'Mapa final'!$O$17="Menor"),CONCATENATE("R",'Mapa final'!$A$17),"")</f>
        <v/>
      </c>
      <c r="S6" s="305"/>
      <c r="T6" s="305" t="str">
        <f ca="1">IF(AND('Mapa final'!$K$23="Muy Alta",'Mapa final'!$O$23="Menor"),CONCATENATE("R",'Mapa final'!$A$23),"")</f>
        <v/>
      </c>
      <c r="U6" s="306"/>
      <c r="V6" s="304" t="str">
        <f ca="1">IF(AND('Mapa final'!$K$11="Muy Alta",'Mapa final'!$O$11="Moderado"),CONCATENATE("R",'Mapa final'!$A$11),"")</f>
        <v/>
      </c>
      <c r="W6" s="305"/>
      <c r="X6" s="305" t="str">
        <f ca="1">IF(AND('Mapa final'!$K$17="Muy Alta",'Mapa final'!$O$17="Moderado"),CONCATENATE("R",'Mapa final'!$A$17),"")</f>
        <v/>
      </c>
      <c r="Y6" s="305"/>
      <c r="Z6" s="305" t="str">
        <f ca="1">IF(AND('Mapa final'!$K$23="Muy Alta",'Mapa final'!$O$23="Moderado"),CONCATENATE("R",'Mapa final'!$A$23),"")</f>
        <v/>
      </c>
      <c r="AA6" s="306"/>
      <c r="AB6" s="304" t="str">
        <f ca="1">IF(AND('Mapa final'!$K$11="Muy Alta",'Mapa final'!$O$11="Mayor"),CONCATENATE("R",'Mapa final'!$A$11),"")</f>
        <v/>
      </c>
      <c r="AC6" s="305"/>
      <c r="AD6" s="305" t="str">
        <f ca="1">IF(AND('Mapa final'!$K$17="Muy Alta",'Mapa final'!$O$17="Mayor"),CONCATENATE("R",'Mapa final'!$A$17),"")</f>
        <v/>
      </c>
      <c r="AE6" s="305"/>
      <c r="AF6" s="305" t="str">
        <f ca="1">IF(AND('Mapa final'!$K$23="Muy Alta",'Mapa final'!$O$23="Mayor"),CONCATENATE("R",'Mapa final'!$A$23),"")</f>
        <v/>
      </c>
      <c r="AG6" s="306"/>
      <c r="AH6" s="294" t="str">
        <f ca="1">IF(AND('Mapa final'!$K$11="Muy Alta",'Mapa final'!$O$11="Catastrófico"),CONCATENATE("R",'Mapa final'!$A$11),"")</f>
        <v/>
      </c>
      <c r="AI6" s="295"/>
      <c r="AJ6" s="295" t="str">
        <f ca="1">IF(AND('Mapa final'!$K$17="Muy Alta",'Mapa final'!$O$17="Catastrófico"),CONCATENATE("R",'Mapa final'!$A$17),"")</f>
        <v/>
      </c>
      <c r="AK6" s="295"/>
      <c r="AL6" s="295" t="str">
        <f ca="1">IF(AND('Mapa final'!$K$23="Muy Alta",'Mapa final'!$O$23="Catastrófico"),CONCATENATE("R",'Mapa final'!$A$23),"")</f>
        <v/>
      </c>
      <c r="AM6" s="296"/>
      <c r="AO6" s="321" t="s">
        <v>76</v>
      </c>
      <c r="AP6" s="322"/>
      <c r="AQ6" s="322"/>
      <c r="AR6" s="322"/>
      <c r="AS6" s="322"/>
      <c r="AT6" s="32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4.95" customHeight="1" x14ac:dyDescent="0.25">
      <c r="A7" s="83"/>
      <c r="B7" s="319"/>
      <c r="C7" s="319"/>
      <c r="D7" s="320"/>
      <c r="E7" s="311"/>
      <c r="F7" s="312"/>
      <c r="G7" s="312"/>
      <c r="H7" s="312"/>
      <c r="I7" s="313"/>
      <c r="J7" s="297"/>
      <c r="K7" s="298"/>
      <c r="L7" s="298"/>
      <c r="M7" s="298"/>
      <c r="N7" s="298"/>
      <c r="O7" s="300"/>
      <c r="P7" s="297"/>
      <c r="Q7" s="298"/>
      <c r="R7" s="298"/>
      <c r="S7" s="298"/>
      <c r="T7" s="298"/>
      <c r="U7" s="300"/>
      <c r="V7" s="297"/>
      <c r="W7" s="298"/>
      <c r="X7" s="298"/>
      <c r="Y7" s="298"/>
      <c r="Z7" s="298"/>
      <c r="AA7" s="300"/>
      <c r="AB7" s="297"/>
      <c r="AC7" s="298"/>
      <c r="AD7" s="298"/>
      <c r="AE7" s="298"/>
      <c r="AF7" s="298"/>
      <c r="AG7" s="300"/>
      <c r="AH7" s="288"/>
      <c r="AI7" s="289"/>
      <c r="AJ7" s="289"/>
      <c r="AK7" s="289"/>
      <c r="AL7" s="289"/>
      <c r="AM7" s="290"/>
      <c r="AN7" s="83"/>
      <c r="AO7" s="324"/>
      <c r="AP7" s="325"/>
      <c r="AQ7" s="325"/>
      <c r="AR7" s="325"/>
      <c r="AS7" s="325"/>
      <c r="AT7" s="326"/>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4.95" customHeight="1" x14ac:dyDescent="0.25">
      <c r="A8" s="83"/>
      <c r="B8" s="319"/>
      <c r="C8" s="319"/>
      <c r="D8" s="320"/>
      <c r="E8" s="311"/>
      <c r="F8" s="312"/>
      <c r="G8" s="312"/>
      <c r="H8" s="312"/>
      <c r="I8" s="313"/>
      <c r="J8" s="297" t="str">
        <f ca="1">IF(AND('Mapa final'!$K$29="Muy Alta",'Mapa final'!$O$29="Leve"),CONCATENATE("R",'Mapa final'!$A$29),"")</f>
        <v/>
      </c>
      <c r="K8" s="298"/>
      <c r="L8" s="299" t="str">
        <f ca="1">IF(AND('Mapa final'!$K$35="Muy Alta",'Mapa final'!$O$35="Leve"),CONCATENATE("R",'Mapa final'!$A$35),"")</f>
        <v/>
      </c>
      <c r="M8" s="299"/>
      <c r="N8" s="299" t="str">
        <f ca="1">IF(AND('Mapa final'!$K$41="Muy Alta",'Mapa final'!$O$41="Leve"),CONCATENATE("R",'Mapa final'!$A$41),"")</f>
        <v/>
      </c>
      <c r="O8" s="300"/>
      <c r="P8" s="297" t="str">
        <f ca="1">IF(AND('Mapa final'!$K$29="Muy Alta",'Mapa final'!$O$29="Menor"),CONCATENATE("R",'Mapa final'!$A$29),"")</f>
        <v/>
      </c>
      <c r="Q8" s="298"/>
      <c r="R8" s="299" t="str">
        <f ca="1">IF(AND('Mapa final'!$K$35="Muy Alta",'Mapa final'!$O$35="Menor"),CONCATENATE("R",'Mapa final'!$A$35),"")</f>
        <v/>
      </c>
      <c r="S8" s="299"/>
      <c r="T8" s="299" t="str">
        <f ca="1">IF(AND('Mapa final'!$K$41="Muy Alta",'Mapa final'!$O$41="Menor"),CONCATENATE("R",'Mapa final'!$A$41),"")</f>
        <v/>
      </c>
      <c r="U8" s="300"/>
      <c r="V8" s="297" t="str">
        <f ca="1">IF(AND('Mapa final'!$K$29="Muy Alta",'Mapa final'!$O$29="Moderado"),CONCATENATE("R",'Mapa final'!$A$29),"")</f>
        <v/>
      </c>
      <c r="W8" s="298"/>
      <c r="X8" s="299" t="str">
        <f ca="1">IF(AND('Mapa final'!$K$35="Muy Alta",'Mapa final'!$O$35="Moderado"),CONCATENATE("R",'Mapa final'!$A$35),"")</f>
        <v/>
      </c>
      <c r="Y8" s="299"/>
      <c r="Z8" s="299" t="str">
        <f ca="1">IF(AND('Mapa final'!$K$41="Muy Alta",'Mapa final'!$O$41="Moderado"),CONCATENATE("R",'Mapa final'!$A$41),"")</f>
        <v/>
      </c>
      <c r="AA8" s="300"/>
      <c r="AB8" s="297" t="str">
        <f ca="1">IF(AND('Mapa final'!$K$29="Muy Alta",'Mapa final'!$O$29="Mayor"),CONCATENATE("R",'Mapa final'!$A$29),"")</f>
        <v/>
      </c>
      <c r="AC8" s="298"/>
      <c r="AD8" s="299" t="str">
        <f ca="1">IF(AND('Mapa final'!$K$35="Muy Alta",'Mapa final'!$O$35="Mayor"),CONCATENATE("R",'Mapa final'!$A$35),"")</f>
        <v/>
      </c>
      <c r="AE8" s="299"/>
      <c r="AF8" s="299" t="str">
        <f ca="1">IF(AND('Mapa final'!$K$41="Muy Alta",'Mapa final'!$O$41="Mayor"),CONCATENATE("R",'Mapa final'!$A$41),"")</f>
        <v/>
      </c>
      <c r="AG8" s="300"/>
      <c r="AH8" s="288" t="str">
        <f ca="1">IF(AND('Mapa final'!$K$29="Muy Alta",'Mapa final'!$O$29="Catastrófico"),CONCATENATE("R",'Mapa final'!$A$29),"")</f>
        <v/>
      </c>
      <c r="AI8" s="289"/>
      <c r="AJ8" s="289" t="str">
        <f ca="1">IF(AND('Mapa final'!$K$35="Muy Alta",'Mapa final'!$O$35="Catastrófico"),CONCATENATE("R",'Mapa final'!$A$35),"")</f>
        <v/>
      </c>
      <c r="AK8" s="289"/>
      <c r="AL8" s="289" t="str">
        <f ca="1">IF(AND('Mapa final'!$K$41="Muy Alta",'Mapa final'!$O$41="Catastrófico"),CONCATENATE("R",'Mapa final'!$A$41),"")</f>
        <v/>
      </c>
      <c r="AM8" s="290"/>
      <c r="AN8" s="83"/>
      <c r="AO8" s="324"/>
      <c r="AP8" s="325"/>
      <c r="AQ8" s="325"/>
      <c r="AR8" s="325"/>
      <c r="AS8" s="325"/>
      <c r="AT8" s="326"/>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4.95" customHeight="1" x14ac:dyDescent="0.25">
      <c r="A9" s="83"/>
      <c r="B9" s="319"/>
      <c r="C9" s="319"/>
      <c r="D9" s="320"/>
      <c r="E9" s="311"/>
      <c r="F9" s="312"/>
      <c r="G9" s="312"/>
      <c r="H9" s="312"/>
      <c r="I9" s="313"/>
      <c r="J9" s="297"/>
      <c r="K9" s="298"/>
      <c r="L9" s="299"/>
      <c r="M9" s="299"/>
      <c r="N9" s="299"/>
      <c r="O9" s="300"/>
      <c r="P9" s="297"/>
      <c r="Q9" s="298"/>
      <c r="R9" s="299"/>
      <c r="S9" s="299"/>
      <c r="T9" s="299"/>
      <c r="U9" s="300"/>
      <c r="V9" s="297"/>
      <c r="W9" s="298"/>
      <c r="X9" s="299"/>
      <c r="Y9" s="299"/>
      <c r="Z9" s="299"/>
      <c r="AA9" s="300"/>
      <c r="AB9" s="297"/>
      <c r="AC9" s="298"/>
      <c r="AD9" s="299"/>
      <c r="AE9" s="299"/>
      <c r="AF9" s="299"/>
      <c r="AG9" s="300"/>
      <c r="AH9" s="288"/>
      <c r="AI9" s="289"/>
      <c r="AJ9" s="289"/>
      <c r="AK9" s="289"/>
      <c r="AL9" s="289"/>
      <c r="AM9" s="290"/>
      <c r="AN9" s="83"/>
      <c r="AO9" s="324"/>
      <c r="AP9" s="325"/>
      <c r="AQ9" s="325"/>
      <c r="AR9" s="325"/>
      <c r="AS9" s="325"/>
      <c r="AT9" s="326"/>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4.95" customHeight="1" x14ac:dyDescent="0.25">
      <c r="A10" s="83"/>
      <c r="B10" s="319"/>
      <c r="C10" s="319"/>
      <c r="D10" s="320"/>
      <c r="E10" s="311"/>
      <c r="F10" s="312"/>
      <c r="G10" s="312"/>
      <c r="H10" s="312"/>
      <c r="I10" s="313"/>
      <c r="J10" s="297" t="str">
        <f ca="1">IF(AND('Mapa final'!$K$47="Muy Alta",'Mapa final'!$O$47="Leve"),CONCATENATE("R",'Mapa final'!$A$47),"")</f>
        <v/>
      </c>
      <c r="K10" s="298"/>
      <c r="L10" s="299" t="str">
        <f ca="1">IF(AND('Mapa final'!$K$53="Muy Alta",'Mapa final'!$O$53="Leve"),CONCATENATE("R",'Mapa final'!$A$53),"")</f>
        <v/>
      </c>
      <c r="M10" s="299"/>
      <c r="N10" s="299" t="str">
        <f ca="1">IF(AND('Mapa final'!$K$59="Muy Alta",'Mapa final'!$O$59="Leve"),CONCATENATE("R",'Mapa final'!$A$59),"")</f>
        <v/>
      </c>
      <c r="O10" s="300"/>
      <c r="P10" s="297" t="str">
        <f ca="1">IF(AND('Mapa final'!$K$47="Muy Alta",'Mapa final'!$O$47="Menor"),CONCATENATE("R",'Mapa final'!$A$47),"")</f>
        <v/>
      </c>
      <c r="Q10" s="298"/>
      <c r="R10" s="299" t="str">
        <f ca="1">IF(AND('Mapa final'!$K$53="Muy Alta",'Mapa final'!$O$53="Menor"),CONCATENATE("R",'Mapa final'!$A$53),"")</f>
        <v/>
      </c>
      <c r="S10" s="299"/>
      <c r="T10" s="299" t="str">
        <f ca="1">IF(AND('Mapa final'!$K$59="Muy Alta",'Mapa final'!$O$59="Menor"),CONCATENATE("R",'Mapa final'!$A$59),"")</f>
        <v/>
      </c>
      <c r="U10" s="300"/>
      <c r="V10" s="297" t="str">
        <f ca="1">IF(AND('Mapa final'!$K$47="Muy Alta",'Mapa final'!$O$47="Moderado"),CONCATENATE("R",'Mapa final'!$A$47),"")</f>
        <v/>
      </c>
      <c r="W10" s="298"/>
      <c r="X10" s="299" t="str">
        <f ca="1">IF(AND('Mapa final'!$K$53="Muy Alta",'Mapa final'!$O$53="Moderado"),CONCATENATE("R",'Mapa final'!$A$53),"")</f>
        <v/>
      </c>
      <c r="Y10" s="299"/>
      <c r="Z10" s="299" t="str">
        <f ca="1">IF(AND('Mapa final'!$K$59="Muy Alta",'Mapa final'!$O$59="Moderado"),CONCATENATE("R",'Mapa final'!$A$59),"")</f>
        <v/>
      </c>
      <c r="AA10" s="300"/>
      <c r="AB10" s="297" t="str">
        <f ca="1">IF(AND('Mapa final'!$K$47="Muy Alta",'Mapa final'!$O$47="Mayor"),CONCATENATE("R",'Mapa final'!$A$47),"")</f>
        <v/>
      </c>
      <c r="AC10" s="298"/>
      <c r="AD10" s="299" t="str">
        <f ca="1">IF(AND('Mapa final'!$K$53="Muy Alta",'Mapa final'!$O$53="Mayor"),CONCATENATE("R",'Mapa final'!$A$53),"")</f>
        <v/>
      </c>
      <c r="AE10" s="299"/>
      <c r="AF10" s="299" t="str">
        <f ca="1">IF(AND('Mapa final'!$K$59="Muy Alta",'Mapa final'!$O$59="Mayor"),CONCATENATE("R",'Mapa final'!$A$59),"")</f>
        <v/>
      </c>
      <c r="AG10" s="300"/>
      <c r="AH10" s="288" t="str">
        <f ca="1">IF(AND('Mapa final'!$K$47="Muy Alta",'Mapa final'!$O$47="Catastrófico"),CONCATENATE("R",'Mapa final'!$A$47),"")</f>
        <v/>
      </c>
      <c r="AI10" s="289"/>
      <c r="AJ10" s="289" t="str">
        <f ca="1">IF(AND('Mapa final'!$K$53="Muy Alta",'Mapa final'!$O$53="Catastrófico"),CONCATENATE("R",'Mapa final'!$A$53),"")</f>
        <v/>
      </c>
      <c r="AK10" s="289"/>
      <c r="AL10" s="289" t="str">
        <f ca="1">IF(AND('Mapa final'!$K$59="Muy Alta",'Mapa final'!$O$59="Catastrófico"),CONCATENATE("R",'Mapa final'!$A$59),"")</f>
        <v/>
      </c>
      <c r="AM10" s="290"/>
      <c r="AN10" s="83"/>
      <c r="AO10" s="324"/>
      <c r="AP10" s="325"/>
      <c r="AQ10" s="325"/>
      <c r="AR10" s="325"/>
      <c r="AS10" s="325"/>
      <c r="AT10" s="326"/>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4.95" customHeight="1" x14ac:dyDescent="0.25">
      <c r="A11" s="83"/>
      <c r="B11" s="319"/>
      <c r="C11" s="319"/>
      <c r="D11" s="320"/>
      <c r="E11" s="311"/>
      <c r="F11" s="312"/>
      <c r="G11" s="312"/>
      <c r="H11" s="312"/>
      <c r="I11" s="313"/>
      <c r="J11" s="297"/>
      <c r="K11" s="298"/>
      <c r="L11" s="299"/>
      <c r="M11" s="299"/>
      <c r="N11" s="299"/>
      <c r="O11" s="300"/>
      <c r="P11" s="297"/>
      <c r="Q11" s="298"/>
      <c r="R11" s="299"/>
      <c r="S11" s="299"/>
      <c r="T11" s="299"/>
      <c r="U11" s="300"/>
      <c r="V11" s="297"/>
      <c r="W11" s="298"/>
      <c r="X11" s="299"/>
      <c r="Y11" s="299"/>
      <c r="Z11" s="299"/>
      <c r="AA11" s="300"/>
      <c r="AB11" s="297"/>
      <c r="AC11" s="298"/>
      <c r="AD11" s="299"/>
      <c r="AE11" s="299"/>
      <c r="AF11" s="299"/>
      <c r="AG11" s="300"/>
      <c r="AH11" s="288"/>
      <c r="AI11" s="289"/>
      <c r="AJ11" s="289"/>
      <c r="AK11" s="289"/>
      <c r="AL11" s="289"/>
      <c r="AM11" s="290"/>
      <c r="AN11" s="83"/>
      <c r="AO11" s="324"/>
      <c r="AP11" s="325"/>
      <c r="AQ11" s="325"/>
      <c r="AR11" s="325"/>
      <c r="AS11" s="325"/>
      <c r="AT11" s="326"/>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4.95" customHeight="1" x14ac:dyDescent="0.25">
      <c r="A12" s="83"/>
      <c r="B12" s="319"/>
      <c r="C12" s="319"/>
      <c r="D12" s="320"/>
      <c r="E12" s="311"/>
      <c r="F12" s="312"/>
      <c r="G12" s="312"/>
      <c r="H12" s="312"/>
      <c r="I12" s="313"/>
      <c r="J12" s="297" t="str">
        <f ca="1">IF(AND('Mapa final'!$K$65="Muy Alta",'Mapa final'!$O$65="Leve"),CONCATENATE("R",'Mapa final'!$A$65),"")</f>
        <v/>
      </c>
      <c r="K12" s="298"/>
      <c r="L12" s="299" t="str">
        <f>IF(AND('Mapa final'!$K$71="Muy Alta",'Mapa final'!$O$71="Leve"),CONCATENATE("R",'Mapa final'!$A$71),"")</f>
        <v/>
      </c>
      <c r="M12" s="299"/>
      <c r="N12" s="299" t="str">
        <f>IF(AND('Mapa final'!$K$77="Muy Alta",'Mapa final'!$O$77="Leve"),CONCATENATE("R",'Mapa final'!$A$77),"")</f>
        <v/>
      </c>
      <c r="O12" s="300"/>
      <c r="P12" s="297" t="str">
        <f ca="1">IF(AND('Mapa final'!$K$65="Muy Alta",'Mapa final'!$O$65="Menor"),CONCATENATE("R",'Mapa final'!$A$65),"")</f>
        <v/>
      </c>
      <c r="Q12" s="298"/>
      <c r="R12" s="299" t="str">
        <f>IF(AND('Mapa final'!$K$71="Muy Alta",'Mapa final'!$O$71="Menor"),CONCATENATE("R",'Mapa final'!$A$71),"")</f>
        <v/>
      </c>
      <c r="S12" s="299"/>
      <c r="T12" s="299" t="str">
        <f>IF(AND('Mapa final'!$K$77="Muy Alta",'Mapa final'!$O$77="Menor"),CONCATENATE("R",'Mapa final'!$A$77),"")</f>
        <v/>
      </c>
      <c r="U12" s="300"/>
      <c r="V12" s="297" t="str">
        <f ca="1">IF(AND('Mapa final'!$K$65="Muy Alta",'Mapa final'!$O$65="Moderado"),CONCATENATE("R",'Mapa final'!$A$65),"")</f>
        <v/>
      </c>
      <c r="W12" s="298"/>
      <c r="X12" s="299" t="str">
        <f>IF(AND('Mapa final'!$K$71="Muy Alta",'Mapa final'!$O$71="Moderado"),CONCATENATE("R",'Mapa final'!$A$71),"")</f>
        <v/>
      </c>
      <c r="Y12" s="299"/>
      <c r="Z12" s="299" t="str">
        <f>IF(AND('Mapa final'!$K$77="Muy Alta",'Mapa final'!$O$77="Moderado"),CONCATENATE("R",'Mapa final'!$A$77),"")</f>
        <v/>
      </c>
      <c r="AA12" s="300"/>
      <c r="AB12" s="297" t="str">
        <f ca="1">IF(AND('Mapa final'!$K$65="Muy Alta",'Mapa final'!$O$65="Mayor"),CONCATENATE("R",'Mapa final'!$A$65),"")</f>
        <v/>
      </c>
      <c r="AC12" s="298"/>
      <c r="AD12" s="299" t="str">
        <f>IF(AND('Mapa final'!$K$71="Muy Alta",'Mapa final'!$O$71="Mayor"),CONCATENATE("R",'Mapa final'!$A$71),"")</f>
        <v/>
      </c>
      <c r="AE12" s="299"/>
      <c r="AF12" s="299" t="str">
        <f>IF(AND('Mapa final'!$K$77="Muy Alta",'Mapa final'!$O$77="Mayor"),CONCATENATE("R",'Mapa final'!$A$77),"")</f>
        <v/>
      </c>
      <c r="AG12" s="300"/>
      <c r="AH12" s="288" t="str">
        <f ca="1">IF(AND('Mapa final'!$K$65="Muy Alta",'Mapa final'!$O$65="Catastrófico"),CONCATENATE("R",'Mapa final'!$A$65),"")</f>
        <v/>
      </c>
      <c r="AI12" s="289"/>
      <c r="AJ12" s="289" t="str">
        <f>IF(AND('Mapa final'!$K$71="Muy Alta",'Mapa final'!$O$71="Catastrófico"),CONCATENATE("R",'Mapa final'!$A$71),"")</f>
        <v/>
      </c>
      <c r="AK12" s="289"/>
      <c r="AL12" s="289" t="str">
        <f>IF(AND('Mapa final'!$K$77="Muy Alta",'Mapa final'!$O$77="Catastrófico"),CONCATENATE("R",'Mapa final'!$A$77),"")</f>
        <v/>
      </c>
      <c r="AM12" s="290"/>
      <c r="AN12" s="83"/>
      <c r="AO12" s="324"/>
      <c r="AP12" s="325"/>
      <c r="AQ12" s="325"/>
      <c r="AR12" s="325"/>
      <c r="AS12" s="325"/>
      <c r="AT12" s="326"/>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8" customHeight="1" thickBot="1" x14ac:dyDescent="0.3">
      <c r="A13" s="83"/>
      <c r="B13" s="319"/>
      <c r="C13" s="319"/>
      <c r="D13" s="320"/>
      <c r="E13" s="314"/>
      <c r="F13" s="315"/>
      <c r="G13" s="315"/>
      <c r="H13" s="315"/>
      <c r="I13" s="316"/>
      <c r="J13" s="297"/>
      <c r="K13" s="298"/>
      <c r="L13" s="298"/>
      <c r="M13" s="298"/>
      <c r="N13" s="298"/>
      <c r="O13" s="300"/>
      <c r="P13" s="297"/>
      <c r="Q13" s="298"/>
      <c r="R13" s="298"/>
      <c r="S13" s="298"/>
      <c r="T13" s="298"/>
      <c r="U13" s="300"/>
      <c r="V13" s="297"/>
      <c r="W13" s="298"/>
      <c r="X13" s="298"/>
      <c r="Y13" s="298"/>
      <c r="Z13" s="298"/>
      <c r="AA13" s="300"/>
      <c r="AB13" s="297"/>
      <c r="AC13" s="298"/>
      <c r="AD13" s="298"/>
      <c r="AE13" s="298"/>
      <c r="AF13" s="298"/>
      <c r="AG13" s="300"/>
      <c r="AH13" s="291"/>
      <c r="AI13" s="292"/>
      <c r="AJ13" s="292"/>
      <c r="AK13" s="292"/>
      <c r="AL13" s="292"/>
      <c r="AM13" s="293"/>
      <c r="AN13" s="83"/>
      <c r="AO13" s="327"/>
      <c r="AP13" s="328"/>
      <c r="AQ13" s="328"/>
      <c r="AR13" s="328"/>
      <c r="AS13" s="328"/>
      <c r="AT13" s="329"/>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4.95" customHeight="1" x14ac:dyDescent="0.25">
      <c r="A14" s="83"/>
      <c r="B14" s="319"/>
      <c r="C14" s="319"/>
      <c r="D14" s="320"/>
      <c r="E14" s="308" t="s">
        <v>107</v>
      </c>
      <c r="F14" s="309"/>
      <c r="G14" s="309"/>
      <c r="H14" s="309"/>
      <c r="I14" s="309"/>
      <c r="J14" s="285" t="str">
        <f ca="1">IF(AND('Mapa final'!$K$11="Alta",'Mapa final'!$O$11="Leve"),CONCATENATE("R",'Mapa final'!$A$11),"")</f>
        <v/>
      </c>
      <c r="K14" s="286"/>
      <c r="L14" s="286" t="str">
        <f ca="1">IF(AND('Mapa final'!$K$17="Alta",'Mapa final'!$O$17="Leve"),CONCATENATE("R",'Mapa final'!$A$17),"")</f>
        <v/>
      </c>
      <c r="M14" s="286"/>
      <c r="N14" s="286" t="str">
        <f ca="1">IF(AND('Mapa final'!$K$23="Alta",'Mapa final'!$O$23="Leve"),CONCATENATE("R",'Mapa final'!$A$23),"")</f>
        <v/>
      </c>
      <c r="O14" s="287"/>
      <c r="P14" s="285" t="str">
        <f ca="1">IF(AND('Mapa final'!$K$11="Alta",'Mapa final'!$O$11="Menor"),CONCATENATE("R",'Mapa final'!$A$11),"")</f>
        <v/>
      </c>
      <c r="Q14" s="286"/>
      <c r="R14" s="286" t="str">
        <f ca="1">IF(AND('Mapa final'!$K$17="Alta",'Mapa final'!$O$17="Menor"),CONCATENATE("R",'Mapa final'!$A$17),"")</f>
        <v/>
      </c>
      <c r="S14" s="286"/>
      <c r="T14" s="286" t="str">
        <f ca="1">IF(AND('Mapa final'!$K$23="Alta",'Mapa final'!$O$23="Menor"),CONCATENATE("R",'Mapa final'!$A$23),"")</f>
        <v/>
      </c>
      <c r="U14" s="287"/>
      <c r="V14" s="304" t="str">
        <f ca="1">IF(AND('Mapa final'!$K$11="Alta",'Mapa final'!$O$11="Moderado"),CONCATENATE("R",'Mapa final'!$A$11),"")</f>
        <v/>
      </c>
      <c r="W14" s="305"/>
      <c r="X14" s="305" t="str">
        <f ca="1">IF(AND('Mapa final'!$K$17="Alta",'Mapa final'!$O$17="Moderado"),CONCATENATE("R",'Mapa final'!$A$17),"")</f>
        <v/>
      </c>
      <c r="Y14" s="305"/>
      <c r="Z14" s="305" t="str">
        <f ca="1">IF(AND('Mapa final'!$K$23="Alta",'Mapa final'!$O$23="Moderado"),CONCATENATE("R",'Mapa final'!$A$23),"")</f>
        <v/>
      </c>
      <c r="AA14" s="306"/>
      <c r="AB14" s="304" t="str">
        <f ca="1">IF(AND('Mapa final'!$K$11="Alta",'Mapa final'!$O$11="Mayor"),CONCATENATE("R",'Mapa final'!$A$11),"")</f>
        <v/>
      </c>
      <c r="AC14" s="305"/>
      <c r="AD14" s="305" t="str">
        <f ca="1">IF(AND('Mapa final'!$K$17="Alta",'Mapa final'!$O$17="Mayor"),CONCATENATE("R",'Mapa final'!$A$17),"")</f>
        <v/>
      </c>
      <c r="AE14" s="305"/>
      <c r="AF14" s="305" t="str">
        <f ca="1">IF(AND('Mapa final'!$K$23="Alta",'Mapa final'!$O$23="Mayor"),CONCATENATE("R",'Mapa final'!$A$23),"")</f>
        <v/>
      </c>
      <c r="AG14" s="306"/>
      <c r="AH14" s="294" t="str">
        <f ca="1">IF(AND('Mapa final'!$K$11="Alta",'Mapa final'!$O$11="Catastrófico"),CONCATENATE("R",'Mapa final'!$A$11),"")</f>
        <v/>
      </c>
      <c r="AI14" s="295"/>
      <c r="AJ14" s="295" t="str">
        <f ca="1">IF(AND('Mapa final'!$K$17="Alta",'Mapa final'!$O$17="Catastrófico"),CONCATENATE("R",'Mapa final'!$A$17),"")</f>
        <v/>
      </c>
      <c r="AK14" s="295"/>
      <c r="AL14" s="295" t="str">
        <f ca="1">IF(AND('Mapa final'!$K$23="Alta",'Mapa final'!$O$23="Catastrófico"),CONCATENATE("R",'Mapa final'!$A$23),"")</f>
        <v/>
      </c>
      <c r="AM14" s="296"/>
      <c r="AN14" s="83"/>
      <c r="AO14" s="330" t="s">
        <v>77</v>
      </c>
      <c r="AP14" s="331"/>
      <c r="AQ14" s="331"/>
      <c r="AR14" s="331"/>
      <c r="AS14" s="331"/>
      <c r="AT14" s="332"/>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4.95" customHeight="1" x14ac:dyDescent="0.25">
      <c r="A15" s="83"/>
      <c r="B15" s="319"/>
      <c r="C15" s="319"/>
      <c r="D15" s="320"/>
      <c r="E15" s="311"/>
      <c r="F15" s="312"/>
      <c r="G15" s="312"/>
      <c r="H15" s="312"/>
      <c r="I15" s="317"/>
      <c r="J15" s="279"/>
      <c r="K15" s="280"/>
      <c r="L15" s="280"/>
      <c r="M15" s="280"/>
      <c r="N15" s="280"/>
      <c r="O15" s="281"/>
      <c r="P15" s="279"/>
      <c r="Q15" s="280"/>
      <c r="R15" s="280"/>
      <c r="S15" s="280"/>
      <c r="T15" s="280"/>
      <c r="U15" s="281"/>
      <c r="V15" s="297"/>
      <c r="W15" s="298"/>
      <c r="X15" s="298"/>
      <c r="Y15" s="298"/>
      <c r="Z15" s="298"/>
      <c r="AA15" s="300"/>
      <c r="AB15" s="297"/>
      <c r="AC15" s="298"/>
      <c r="AD15" s="298"/>
      <c r="AE15" s="298"/>
      <c r="AF15" s="298"/>
      <c r="AG15" s="300"/>
      <c r="AH15" s="288"/>
      <c r="AI15" s="289"/>
      <c r="AJ15" s="289"/>
      <c r="AK15" s="289"/>
      <c r="AL15" s="289"/>
      <c r="AM15" s="290"/>
      <c r="AN15" s="83"/>
      <c r="AO15" s="333"/>
      <c r="AP15" s="334"/>
      <c r="AQ15" s="334"/>
      <c r="AR15" s="334"/>
      <c r="AS15" s="334"/>
      <c r="AT15" s="335"/>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4.95" customHeight="1" x14ac:dyDescent="0.25">
      <c r="A16" s="83"/>
      <c r="B16" s="319"/>
      <c r="C16" s="319"/>
      <c r="D16" s="320"/>
      <c r="E16" s="311"/>
      <c r="F16" s="312"/>
      <c r="G16" s="312"/>
      <c r="H16" s="312"/>
      <c r="I16" s="317"/>
      <c r="J16" s="279" t="str">
        <f ca="1">IF(AND('Mapa final'!$K$29="Alta",'Mapa final'!$O$29="Leve"),CONCATENATE("R",'Mapa final'!$A$29),"")</f>
        <v/>
      </c>
      <c r="K16" s="280"/>
      <c r="L16" s="280" t="str">
        <f ca="1">IF(AND('Mapa final'!$K$35="Alta",'Mapa final'!$O$35="Leve"),CONCATENATE("R",'Mapa final'!$A$35),"")</f>
        <v/>
      </c>
      <c r="M16" s="280"/>
      <c r="N16" s="280" t="str">
        <f ca="1">IF(AND('Mapa final'!$K$41="Alta",'Mapa final'!$O$41="Leve"),CONCATENATE("R",'Mapa final'!$A$41),"")</f>
        <v/>
      </c>
      <c r="O16" s="281"/>
      <c r="P16" s="279" t="str">
        <f ca="1">IF(AND('Mapa final'!$K$29="Alta",'Mapa final'!$O$29="Menor"),CONCATENATE("R",'Mapa final'!$A$29),"")</f>
        <v/>
      </c>
      <c r="Q16" s="280"/>
      <c r="R16" s="280" t="str">
        <f ca="1">IF(AND('Mapa final'!$K$35="Alta",'Mapa final'!$O$35="Menor"),CONCATENATE("R",'Mapa final'!$A$35),"")</f>
        <v/>
      </c>
      <c r="S16" s="280"/>
      <c r="T16" s="280" t="str">
        <f ca="1">IF(AND('Mapa final'!$K$41="Alta",'Mapa final'!$O$41="Menor"),CONCATENATE("R",'Mapa final'!$A$41),"")</f>
        <v/>
      </c>
      <c r="U16" s="281"/>
      <c r="V16" s="297" t="str">
        <f ca="1">IF(AND('Mapa final'!$K$29="Alta",'Mapa final'!$O$29="Moderado"),CONCATENATE("R",'Mapa final'!$A$29),"")</f>
        <v/>
      </c>
      <c r="W16" s="298"/>
      <c r="X16" s="299" t="str">
        <f ca="1">IF(AND('Mapa final'!$K$35="Alta",'Mapa final'!$O$35="Moderado"),CONCATENATE("R",'Mapa final'!$A$35),"")</f>
        <v/>
      </c>
      <c r="Y16" s="299"/>
      <c r="Z16" s="299" t="str">
        <f ca="1">IF(AND('Mapa final'!$K$41="Alta",'Mapa final'!$O$41="Moderado"),CONCATENATE("R",'Mapa final'!$A$41),"")</f>
        <v/>
      </c>
      <c r="AA16" s="300"/>
      <c r="AB16" s="297" t="str">
        <f ca="1">IF(AND('Mapa final'!$K$29="Alta",'Mapa final'!$O$29="Mayor"),CONCATENATE("R",'Mapa final'!$A$29),"")</f>
        <v/>
      </c>
      <c r="AC16" s="298"/>
      <c r="AD16" s="299" t="str">
        <f ca="1">IF(AND('Mapa final'!$K$35="Alta",'Mapa final'!$O$35="Mayor"),CONCATENATE("R",'Mapa final'!$A$35),"")</f>
        <v/>
      </c>
      <c r="AE16" s="299"/>
      <c r="AF16" s="299" t="str">
        <f ca="1">IF(AND('Mapa final'!$K$41="Alta",'Mapa final'!$O$41="Mayor"),CONCATENATE("R",'Mapa final'!$A$41),"")</f>
        <v/>
      </c>
      <c r="AG16" s="300"/>
      <c r="AH16" s="288" t="str">
        <f ca="1">IF(AND('Mapa final'!$K$29="Alta",'Mapa final'!$O$29="Catastrófico"),CONCATENATE("R",'Mapa final'!$A$29),"")</f>
        <v/>
      </c>
      <c r="AI16" s="289"/>
      <c r="AJ16" s="289" t="str">
        <f ca="1">IF(AND('Mapa final'!$K$35="Alta",'Mapa final'!$O$35="Catastrófico"),CONCATENATE("R",'Mapa final'!$A$35),"")</f>
        <v/>
      </c>
      <c r="AK16" s="289"/>
      <c r="AL16" s="289" t="str">
        <f ca="1">IF(AND('Mapa final'!$K$41="Alta",'Mapa final'!$O$41="Catastrófico"),CONCATENATE("R",'Mapa final'!$A$41),"")</f>
        <v/>
      </c>
      <c r="AM16" s="290"/>
      <c r="AN16" s="83"/>
      <c r="AO16" s="333"/>
      <c r="AP16" s="334"/>
      <c r="AQ16" s="334"/>
      <c r="AR16" s="334"/>
      <c r="AS16" s="334"/>
      <c r="AT16" s="33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4.95" customHeight="1" x14ac:dyDescent="0.25">
      <c r="A17" s="83"/>
      <c r="B17" s="319"/>
      <c r="C17" s="319"/>
      <c r="D17" s="320"/>
      <c r="E17" s="311"/>
      <c r="F17" s="312"/>
      <c r="G17" s="312"/>
      <c r="H17" s="312"/>
      <c r="I17" s="317"/>
      <c r="J17" s="279"/>
      <c r="K17" s="280"/>
      <c r="L17" s="280"/>
      <c r="M17" s="280"/>
      <c r="N17" s="280"/>
      <c r="O17" s="281"/>
      <c r="P17" s="279"/>
      <c r="Q17" s="280"/>
      <c r="R17" s="280"/>
      <c r="S17" s="280"/>
      <c r="T17" s="280"/>
      <c r="U17" s="281"/>
      <c r="V17" s="297"/>
      <c r="W17" s="298"/>
      <c r="X17" s="299"/>
      <c r="Y17" s="299"/>
      <c r="Z17" s="299"/>
      <c r="AA17" s="300"/>
      <c r="AB17" s="297"/>
      <c r="AC17" s="298"/>
      <c r="AD17" s="299"/>
      <c r="AE17" s="299"/>
      <c r="AF17" s="299"/>
      <c r="AG17" s="300"/>
      <c r="AH17" s="288"/>
      <c r="AI17" s="289"/>
      <c r="AJ17" s="289"/>
      <c r="AK17" s="289"/>
      <c r="AL17" s="289"/>
      <c r="AM17" s="290"/>
      <c r="AN17" s="83"/>
      <c r="AO17" s="333"/>
      <c r="AP17" s="334"/>
      <c r="AQ17" s="334"/>
      <c r="AR17" s="334"/>
      <c r="AS17" s="334"/>
      <c r="AT17" s="335"/>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4.95" customHeight="1" x14ac:dyDescent="0.25">
      <c r="A18" s="83"/>
      <c r="B18" s="319"/>
      <c r="C18" s="319"/>
      <c r="D18" s="320"/>
      <c r="E18" s="311"/>
      <c r="F18" s="312"/>
      <c r="G18" s="312"/>
      <c r="H18" s="312"/>
      <c r="I18" s="317"/>
      <c r="J18" s="279" t="str">
        <f ca="1">IF(AND('Mapa final'!$K$47="Alta",'Mapa final'!$O$47="Leve"),CONCATENATE("R",'Mapa final'!$A$47),"")</f>
        <v/>
      </c>
      <c r="K18" s="280"/>
      <c r="L18" s="280" t="str">
        <f ca="1">IF(AND('Mapa final'!$K$53="Alta",'Mapa final'!$O$53="Leve"),CONCATENATE("R",'Mapa final'!$A$53),"")</f>
        <v/>
      </c>
      <c r="M18" s="280"/>
      <c r="N18" s="280" t="str">
        <f ca="1">IF(AND('Mapa final'!$K$59="Alta",'Mapa final'!$O$59="Leve"),CONCATENATE("R",'Mapa final'!$A$59),"")</f>
        <v/>
      </c>
      <c r="O18" s="281"/>
      <c r="P18" s="279" t="str">
        <f ca="1">IF(AND('Mapa final'!$K$47="Alta",'Mapa final'!$O$47="Menor"),CONCATENATE("R",'Mapa final'!$A$47),"")</f>
        <v/>
      </c>
      <c r="Q18" s="280"/>
      <c r="R18" s="280" t="str">
        <f ca="1">IF(AND('Mapa final'!$K$53="Alta",'Mapa final'!$O$53="Menor"),CONCATENATE("R",'Mapa final'!$A$53),"")</f>
        <v/>
      </c>
      <c r="S18" s="280"/>
      <c r="T18" s="280" t="str">
        <f ca="1">IF(AND('Mapa final'!$K$59="Alta",'Mapa final'!$O$59="Menor"),CONCATENATE("R",'Mapa final'!$A$59),"")</f>
        <v/>
      </c>
      <c r="U18" s="281"/>
      <c r="V18" s="297" t="str">
        <f ca="1">IF(AND('Mapa final'!$K$47="Alta",'Mapa final'!$O$47="Moderado"),CONCATENATE("R",'Mapa final'!$A$47),"")</f>
        <v/>
      </c>
      <c r="W18" s="298"/>
      <c r="X18" s="299" t="str">
        <f ca="1">IF(AND('Mapa final'!$K$53="Alta",'Mapa final'!$O$53="Moderado"),CONCATENATE("R",'Mapa final'!$A$53),"")</f>
        <v/>
      </c>
      <c r="Y18" s="299"/>
      <c r="Z18" s="299" t="str">
        <f ca="1">IF(AND('Mapa final'!$K$59="Alta",'Mapa final'!$O$59="Moderado"),CONCATENATE("R",'Mapa final'!$A$59),"")</f>
        <v/>
      </c>
      <c r="AA18" s="300"/>
      <c r="AB18" s="297" t="str">
        <f ca="1">IF(AND('Mapa final'!$K$47="Alta",'Mapa final'!$O$47="Mayor"),CONCATENATE("R",'Mapa final'!$A$47),"")</f>
        <v/>
      </c>
      <c r="AC18" s="298"/>
      <c r="AD18" s="299" t="str">
        <f ca="1">IF(AND('Mapa final'!$K$53="Alta",'Mapa final'!$O$53="Mayor"),CONCATENATE("R",'Mapa final'!$A$53),"")</f>
        <v/>
      </c>
      <c r="AE18" s="299"/>
      <c r="AF18" s="299" t="str">
        <f ca="1">IF(AND('Mapa final'!$K$59="Alta",'Mapa final'!$O$59="Mayor"),CONCATENATE("R",'Mapa final'!$A$59),"")</f>
        <v/>
      </c>
      <c r="AG18" s="300"/>
      <c r="AH18" s="288" t="str">
        <f ca="1">IF(AND('Mapa final'!$K$47="Alta",'Mapa final'!$O$47="Catastrófico"),CONCATENATE("R",'Mapa final'!$A$47),"")</f>
        <v/>
      </c>
      <c r="AI18" s="289"/>
      <c r="AJ18" s="289" t="str">
        <f ca="1">IF(AND('Mapa final'!$K$53="Alta",'Mapa final'!$O$53="Catastrófico"),CONCATENATE("R",'Mapa final'!$A$53),"")</f>
        <v/>
      </c>
      <c r="AK18" s="289"/>
      <c r="AL18" s="289" t="str">
        <f ca="1">IF(AND('Mapa final'!$K$59="Alta",'Mapa final'!$O$59="Catastrófico"),CONCATENATE("R",'Mapa final'!$A$59),"")</f>
        <v/>
      </c>
      <c r="AM18" s="290"/>
      <c r="AN18" s="83"/>
      <c r="AO18" s="333"/>
      <c r="AP18" s="334"/>
      <c r="AQ18" s="334"/>
      <c r="AR18" s="334"/>
      <c r="AS18" s="334"/>
      <c r="AT18" s="335"/>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4.95" customHeight="1" x14ac:dyDescent="0.25">
      <c r="A19" s="83"/>
      <c r="B19" s="319"/>
      <c r="C19" s="319"/>
      <c r="D19" s="320"/>
      <c r="E19" s="311"/>
      <c r="F19" s="312"/>
      <c r="G19" s="312"/>
      <c r="H19" s="312"/>
      <c r="I19" s="317"/>
      <c r="J19" s="279"/>
      <c r="K19" s="280"/>
      <c r="L19" s="280"/>
      <c r="M19" s="280"/>
      <c r="N19" s="280"/>
      <c r="O19" s="281"/>
      <c r="P19" s="279"/>
      <c r="Q19" s="280"/>
      <c r="R19" s="280"/>
      <c r="S19" s="280"/>
      <c r="T19" s="280"/>
      <c r="U19" s="281"/>
      <c r="V19" s="297"/>
      <c r="W19" s="298"/>
      <c r="X19" s="299"/>
      <c r="Y19" s="299"/>
      <c r="Z19" s="299"/>
      <c r="AA19" s="300"/>
      <c r="AB19" s="297"/>
      <c r="AC19" s="298"/>
      <c r="AD19" s="299"/>
      <c r="AE19" s="299"/>
      <c r="AF19" s="299"/>
      <c r="AG19" s="300"/>
      <c r="AH19" s="288"/>
      <c r="AI19" s="289"/>
      <c r="AJ19" s="289"/>
      <c r="AK19" s="289"/>
      <c r="AL19" s="289"/>
      <c r="AM19" s="290"/>
      <c r="AN19" s="83"/>
      <c r="AO19" s="333"/>
      <c r="AP19" s="334"/>
      <c r="AQ19" s="334"/>
      <c r="AR19" s="334"/>
      <c r="AS19" s="334"/>
      <c r="AT19" s="335"/>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4.95" customHeight="1" x14ac:dyDescent="0.25">
      <c r="A20" s="83"/>
      <c r="B20" s="319"/>
      <c r="C20" s="319"/>
      <c r="D20" s="320"/>
      <c r="E20" s="311"/>
      <c r="F20" s="312"/>
      <c r="G20" s="312"/>
      <c r="H20" s="312"/>
      <c r="I20" s="317"/>
      <c r="J20" s="279" t="str">
        <f ca="1">IF(AND('Mapa final'!$K$65="Alta",'Mapa final'!$O$65="Leve"),CONCATENATE("R",'Mapa final'!$A$65),"")</f>
        <v/>
      </c>
      <c r="K20" s="280"/>
      <c r="L20" s="280" t="str">
        <f>IF(AND('Mapa final'!$K$71="Alta",'Mapa final'!$O$71="Leve"),CONCATENATE("R",'Mapa final'!$A$71),"")</f>
        <v/>
      </c>
      <c r="M20" s="280"/>
      <c r="N20" s="280" t="str">
        <f>IF(AND('Mapa final'!$K$77="Alta",'Mapa final'!$O$77="Leve"),CONCATENATE("R",'Mapa final'!$A$77),"")</f>
        <v/>
      </c>
      <c r="O20" s="281"/>
      <c r="P20" s="279" t="str">
        <f ca="1">IF(AND('Mapa final'!$K$65="Alta",'Mapa final'!$O$65="Menor"),CONCATENATE("R",'Mapa final'!$A$65),"")</f>
        <v/>
      </c>
      <c r="Q20" s="280"/>
      <c r="R20" s="280" t="str">
        <f>IF(AND('Mapa final'!$K$71="Alta",'Mapa final'!$O$71="Menor"),CONCATENATE("R",'Mapa final'!$A$71),"")</f>
        <v/>
      </c>
      <c r="S20" s="280"/>
      <c r="T20" s="280" t="str">
        <f>IF(AND('Mapa final'!$K$77="Alta",'Mapa final'!$O$77="Menor"),CONCATENATE("R",'Mapa final'!$A$77),"")</f>
        <v/>
      </c>
      <c r="U20" s="281"/>
      <c r="V20" s="297" t="str">
        <f ca="1">IF(AND('Mapa final'!$K$65="Alta",'Mapa final'!$O$65="Moderado"),CONCATENATE("R",'Mapa final'!$A$65),"")</f>
        <v/>
      </c>
      <c r="W20" s="298"/>
      <c r="X20" s="299" t="str">
        <f>IF(AND('Mapa final'!$K$71="Alta",'Mapa final'!$O$71="Moderado"),CONCATENATE("R",'Mapa final'!$A$71),"")</f>
        <v/>
      </c>
      <c r="Y20" s="299"/>
      <c r="Z20" s="299" t="str">
        <f>IF(AND('Mapa final'!$K$77="Alta",'Mapa final'!$O$77="Moderado"),CONCATENATE("R",'Mapa final'!$A$77),"")</f>
        <v/>
      </c>
      <c r="AA20" s="300"/>
      <c r="AB20" s="297" t="str">
        <f ca="1">IF(AND('Mapa final'!$K$65="Alta",'Mapa final'!$O$65="Mayor"),CONCATENATE("R",'Mapa final'!$A$65),"")</f>
        <v/>
      </c>
      <c r="AC20" s="298"/>
      <c r="AD20" s="299" t="str">
        <f>IF(AND('Mapa final'!$K$71="Alta",'Mapa final'!$O$71="Mayor"),CONCATENATE("R",'Mapa final'!$A$71),"")</f>
        <v/>
      </c>
      <c r="AE20" s="299"/>
      <c r="AF20" s="299" t="str">
        <f>IF(AND('Mapa final'!$K$77="Alta",'Mapa final'!$O$77="Mayor"),CONCATENATE("R",'Mapa final'!$A$77),"")</f>
        <v/>
      </c>
      <c r="AG20" s="300"/>
      <c r="AH20" s="288" t="str">
        <f ca="1">IF(AND('Mapa final'!$K$65="Alta",'Mapa final'!$O$65="Catastrófico"),CONCATENATE("R",'Mapa final'!$A$65),"")</f>
        <v/>
      </c>
      <c r="AI20" s="289"/>
      <c r="AJ20" s="289" t="str">
        <f>IF(AND('Mapa final'!$K$71="Alta",'Mapa final'!$O$71="Catastrófico"),CONCATENATE("R",'Mapa final'!$A$71),"")</f>
        <v/>
      </c>
      <c r="AK20" s="289"/>
      <c r="AL20" s="289" t="str">
        <f>IF(AND('Mapa final'!$K$77="Alta",'Mapa final'!$O$77="Catastrófico"),CONCATENATE("R",'Mapa final'!$A$77),"")</f>
        <v/>
      </c>
      <c r="AM20" s="290"/>
      <c r="AN20" s="83"/>
      <c r="AO20" s="333"/>
      <c r="AP20" s="334"/>
      <c r="AQ20" s="334"/>
      <c r="AR20" s="334"/>
      <c r="AS20" s="334"/>
      <c r="AT20" s="335"/>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8" customHeight="1" thickBot="1" x14ac:dyDescent="0.3">
      <c r="A21" s="83"/>
      <c r="B21" s="319"/>
      <c r="C21" s="319"/>
      <c r="D21" s="320"/>
      <c r="E21" s="314"/>
      <c r="F21" s="315"/>
      <c r="G21" s="315"/>
      <c r="H21" s="315"/>
      <c r="I21" s="315"/>
      <c r="J21" s="282"/>
      <c r="K21" s="283"/>
      <c r="L21" s="283"/>
      <c r="M21" s="283"/>
      <c r="N21" s="283"/>
      <c r="O21" s="284"/>
      <c r="P21" s="282"/>
      <c r="Q21" s="283"/>
      <c r="R21" s="283"/>
      <c r="S21" s="283"/>
      <c r="T21" s="283"/>
      <c r="U21" s="284"/>
      <c r="V21" s="301"/>
      <c r="W21" s="302"/>
      <c r="X21" s="302"/>
      <c r="Y21" s="302"/>
      <c r="Z21" s="302"/>
      <c r="AA21" s="303"/>
      <c r="AB21" s="301"/>
      <c r="AC21" s="302"/>
      <c r="AD21" s="302"/>
      <c r="AE21" s="302"/>
      <c r="AF21" s="302"/>
      <c r="AG21" s="303"/>
      <c r="AH21" s="291"/>
      <c r="AI21" s="292"/>
      <c r="AJ21" s="292"/>
      <c r="AK21" s="292"/>
      <c r="AL21" s="292"/>
      <c r="AM21" s="293"/>
      <c r="AN21" s="83"/>
      <c r="AO21" s="336"/>
      <c r="AP21" s="337"/>
      <c r="AQ21" s="337"/>
      <c r="AR21" s="337"/>
      <c r="AS21" s="337"/>
      <c r="AT21" s="33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19"/>
      <c r="C22" s="319"/>
      <c r="D22" s="320"/>
      <c r="E22" s="308" t="s">
        <v>109</v>
      </c>
      <c r="F22" s="309"/>
      <c r="G22" s="309"/>
      <c r="H22" s="309"/>
      <c r="I22" s="310"/>
      <c r="J22" s="285" t="str">
        <f ca="1">IF(AND('Mapa final'!$K$11="Media",'Mapa final'!$O$11="Leve"),CONCATENATE("R",'Mapa final'!$A$11),"")</f>
        <v/>
      </c>
      <c r="K22" s="286"/>
      <c r="L22" s="286" t="str">
        <f ca="1">IF(AND('Mapa final'!$K$17="Media",'Mapa final'!$O$17="Leve"),CONCATENATE("R",'Mapa final'!$A$17),"")</f>
        <v/>
      </c>
      <c r="M22" s="286"/>
      <c r="N22" s="286" t="str">
        <f ca="1">IF(AND('Mapa final'!$K$23="Media",'Mapa final'!$O$23="Leve"),CONCATENATE("R",'Mapa final'!$A$23),"")</f>
        <v/>
      </c>
      <c r="O22" s="287"/>
      <c r="P22" s="285" t="str">
        <f ca="1">IF(AND('Mapa final'!$K$11="Media",'Mapa final'!$O$11="Menor"),CONCATENATE("R",'Mapa final'!$A$11),"")</f>
        <v/>
      </c>
      <c r="Q22" s="286"/>
      <c r="R22" s="286" t="str">
        <f ca="1">IF(AND('Mapa final'!$K$17="Media",'Mapa final'!$O$17="Menor"),CONCATENATE("R",'Mapa final'!$A$17),"")</f>
        <v/>
      </c>
      <c r="S22" s="286"/>
      <c r="T22" s="286" t="str">
        <f ca="1">IF(AND('Mapa final'!$K$23="Media",'Mapa final'!$O$23="Menor"),CONCATENATE("R",'Mapa final'!$A$23),"")</f>
        <v/>
      </c>
      <c r="U22" s="287"/>
      <c r="V22" s="285" t="str">
        <f ca="1">IF(AND('Mapa final'!$K$11="Media",'Mapa final'!$O$11="Moderado"),CONCATENATE("R",'Mapa final'!$A$11),"")</f>
        <v>R1</v>
      </c>
      <c r="W22" s="286"/>
      <c r="X22" s="286" t="str">
        <f ca="1">IF(AND('Mapa final'!$K$17="Media",'Mapa final'!$O$17="Moderado"),CONCATENATE("R",'Mapa final'!$A$17),"")</f>
        <v>R2</v>
      </c>
      <c r="Y22" s="286"/>
      <c r="Z22" s="286" t="str">
        <f ca="1">IF(AND('Mapa final'!$K$23="Media",'Mapa final'!$O$23="Moderado"),CONCATENATE("R",'Mapa final'!$A$23),"")</f>
        <v>R3</v>
      </c>
      <c r="AA22" s="287"/>
      <c r="AB22" s="304" t="str">
        <f ca="1">IF(AND('Mapa final'!$K$11="Media",'Mapa final'!$O$11="Mayor"),CONCATENATE("R",'Mapa final'!$A$11),"")</f>
        <v/>
      </c>
      <c r="AC22" s="305"/>
      <c r="AD22" s="305" t="str">
        <f ca="1">IF(AND('Mapa final'!$K$17="Media",'Mapa final'!$O$17="Mayor"),CONCATENATE("R",'Mapa final'!$A$17),"")</f>
        <v/>
      </c>
      <c r="AE22" s="305"/>
      <c r="AF22" s="305" t="str">
        <f ca="1">IF(AND('Mapa final'!$K$23="Media",'Mapa final'!$O$23="Mayor"),CONCATENATE("R",'Mapa final'!$A$23),"")</f>
        <v/>
      </c>
      <c r="AG22" s="306"/>
      <c r="AH22" s="294" t="str">
        <f ca="1">IF(AND('Mapa final'!$K$11="Media",'Mapa final'!$O$11="Catastrófico"),CONCATENATE("R",'Mapa final'!$A$11),"")</f>
        <v/>
      </c>
      <c r="AI22" s="295"/>
      <c r="AJ22" s="295" t="str">
        <f ca="1">IF(AND('Mapa final'!$K$17="Media",'Mapa final'!$O$17="Catastrófico"),CONCATENATE("R",'Mapa final'!$A$17),"")</f>
        <v/>
      </c>
      <c r="AK22" s="295"/>
      <c r="AL22" s="295" t="str">
        <f ca="1">IF(AND('Mapa final'!$K$23="Media",'Mapa final'!$O$23="Catastrófico"),CONCATENATE("R",'Mapa final'!$A$23),"")</f>
        <v/>
      </c>
      <c r="AM22" s="296"/>
      <c r="AN22" s="83"/>
      <c r="AO22" s="339" t="s">
        <v>78</v>
      </c>
      <c r="AP22" s="340"/>
      <c r="AQ22" s="340"/>
      <c r="AR22" s="340"/>
      <c r="AS22" s="340"/>
      <c r="AT22" s="341"/>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19"/>
      <c r="C23" s="319"/>
      <c r="D23" s="320"/>
      <c r="E23" s="311"/>
      <c r="F23" s="312"/>
      <c r="G23" s="312"/>
      <c r="H23" s="312"/>
      <c r="I23" s="313"/>
      <c r="J23" s="279"/>
      <c r="K23" s="280"/>
      <c r="L23" s="280"/>
      <c r="M23" s="280"/>
      <c r="N23" s="280"/>
      <c r="O23" s="281"/>
      <c r="P23" s="279"/>
      <c r="Q23" s="280"/>
      <c r="R23" s="280"/>
      <c r="S23" s="280"/>
      <c r="T23" s="280"/>
      <c r="U23" s="281"/>
      <c r="V23" s="279"/>
      <c r="W23" s="280"/>
      <c r="X23" s="280"/>
      <c r="Y23" s="280"/>
      <c r="Z23" s="280"/>
      <c r="AA23" s="281"/>
      <c r="AB23" s="297"/>
      <c r="AC23" s="298"/>
      <c r="AD23" s="298"/>
      <c r="AE23" s="298"/>
      <c r="AF23" s="298"/>
      <c r="AG23" s="300"/>
      <c r="AH23" s="288"/>
      <c r="AI23" s="289"/>
      <c r="AJ23" s="289"/>
      <c r="AK23" s="289"/>
      <c r="AL23" s="289"/>
      <c r="AM23" s="290"/>
      <c r="AN23" s="83"/>
      <c r="AO23" s="342"/>
      <c r="AP23" s="343"/>
      <c r="AQ23" s="343"/>
      <c r="AR23" s="343"/>
      <c r="AS23" s="343"/>
      <c r="AT23" s="344"/>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19"/>
      <c r="C24" s="319"/>
      <c r="D24" s="320"/>
      <c r="E24" s="311"/>
      <c r="F24" s="312"/>
      <c r="G24" s="312"/>
      <c r="H24" s="312"/>
      <c r="I24" s="313"/>
      <c r="J24" s="279" t="str">
        <f ca="1">IF(AND('Mapa final'!$K$29="Media",'Mapa final'!$O$29="Leve"),CONCATENATE("R",'Mapa final'!$A$29),"")</f>
        <v/>
      </c>
      <c r="K24" s="280"/>
      <c r="L24" s="280" t="str">
        <f ca="1">IF(AND('Mapa final'!$K$35="Media",'Mapa final'!$O$35="Leve"),CONCATENATE("R",'Mapa final'!$A$35),"")</f>
        <v/>
      </c>
      <c r="M24" s="280"/>
      <c r="N24" s="280" t="str">
        <f ca="1">IF(AND('Mapa final'!$K$41="Media",'Mapa final'!$O$41="Leve"),CONCATENATE("R",'Mapa final'!$A$41),"")</f>
        <v/>
      </c>
      <c r="O24" s="281"/>
      <c r="P24" s="279" t="str">
        <f ca="1">IF(AND('Mapa final'!$K$29="Media",'Mapa final'!$O$29="Menor"),CONCATENATE("R",'Mapa final'!$A$29),"")</f>
        <v/>
      </c>
      <c r="Q24" s="280"/>
      <c r="R24" s="280" t="str">
        <f ca="1">IF(AND('Mapa final'!$K$35="Media",'Mapa final'!$O$35="Menor"),CONCATENATE("R",'Mapa final'!$A$35),"")</f>
        <v/>
      </c>
      <c r="S24" s="280"/>
      <c r="T24" s="280" t="str">
        <f ca="1">IF(AND('Mapa final'!$K$41="Media",'Mapa final'!$O$41="Menor"),CONCATENATE("R",'Mapa final'!$A$41),"")</f>
        <v/>
      </c>
      <c r="U24" s="281"/>
      <c r="V24" s="279" t="str">
        <f ca="1">IF(AND('Mapa final'!$K$29="Media",'Mapa final'!$O$29="Moderado"),CONCATENATE("R",'Mapa final'!$A$29),"")</f>
        <v>R4</v>
      </c>
      <c r="W24" s="280"/>
      <c r="X24" s="280" t="str">
        <f ca="1">IF(AND('Mapa final'!$K$35="Media",'Mapa final'!$O$35="Moderado"),CONCATENATE("R",'Mapa final'!$A$35),"")</f>
        <v>R5</v>
      </c>
      <c r="Y24" s="280"/>
      <c r="Z24" s="280" t="str">
        <f ca="1">IF(AND('Mapa final'!$K$41="Media",'Mapa final'!$O$41="Moderado"),CONCATENATE("R",'Mapa final'!$A$41),"")</f>
        <v>R6</v>
      </c>
      <c r="AA24" s="281"/>
      <c r="AB24" s="297" t="str">
        <f ca="1">IF(AND('Mapa final'!$K$29="Media",'Mapa final'!$O$29="Mayor"),CONCATENATE("R",'Mapa final'!$A$29),"")</f>
        <v/>
      </c>
      <c r="AC24" s="298"/>
      <c r="AD24" s="299" t="str">
        <f ca="1">IF(AND('Mapa final'!$K$35="Media",'Mapa final'!$O$35="Mayor"),CONCATENATE("R",'Mapa final'!$A$35),"")</f>
        <v/>
      </c>
      <c r="AE24" s="299"/>
      <c r="AF24" s="299" t="str">
        <f ca="1">IF(AND('Mapa final'!$K$41="Media",'Mapa final'!$O$41="Mayor"),CONCATENATE("R",'Mapa final'!$A$41),"")</f>
        <v/>
      </c>
      <c r="AG24" s="300"/>
      <c r="AH24" s="288" t="str">
        <f ca="1">IF(AND('Mapa final'!$K$29="Media",'Mapa final'!$O$29="Catastrófico"),CONCATENATE("R",'Mapa final'!$A$29),"")</f>
        <v/>
      </c>
      <c r="AI24" s="289"/>
      <c r="AJ24" s="289" t="str">
        <f ca="1">IF(AND('Mapa final'!$K$35="Media",'Mapa final'!$O$35="Catastrófico"),CONCATENATE("R",'Mapa final'!$A$35),"")</f>
        <v/>
      </c>
      <c r="AK24" s="289"/>
      <c r="AL24" s="289" t="str">
        <f ca="1">IF(AND('Mapa final'!$K$41="Media",'Mapa final'!$O$41="Catastrófico"),CONCATENATE("R",'Mapa final'!$A$41),"")</f>
        <v/>
      </c>
      <c r="AM24" s="290"/>
      <c r="AN24" s="83"/>
      <c r="AO24" s="342"/>
      <c r="AP24" s="343"/>
      <c r="AQ24" s="343"/>
      <c r="AR24" s="343"/>
      <c r="AS24" s="343"/>
      <c r="AT24" s="344"/>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19"/>
      <c r="C25" s="319"/>
      <c r="D25" s="320"/>
      <c r="E25" s="311"/>
      <c r="F25" s="312"/>
      <c r="G25" s="312"/>
      <c r="H25" s="312"/>
      <c r="I25" s="313"/>
      <c r="J25" s="279"/>
      <c r="K25" s="280"/>
      <c r="L25" s="280"/>
      <c r="M25" s="280"/>
      <c r="N25" s="280"/>
      <c r="O25" s="281"/>
      <c r="P25" s="279"/>
      <c r="Q25" s="280"/>
      <c r="R25" s="280"/>
      <c r="S25" s="280"/>
      <c r="T25" s="280"/>
      <c r="U25" s="281"/>
      <c r="V25" s="279"/>
      <c r="W25" s="280"/>
      <c r="X25" s="280"/>
      <c r="Y25" s="280"/>
      <c r="Z25" s="280"/>
      <c r="AA25" s="281"/>
      <c r="AB25" s="297"/>
      <c r="AC25" s="298"/>
      <c r="AD25" s="299"/>
      <c r="AE25" s="299"/>
      <c r="AF25" s="299"/>
      <c r="AG25" s="300"/>
      <c r="AH25" s="288"/>
      <c r="AI25" s="289"/>
      <c r="AJ25" s="289"/>
      <c r="AK25" s="289"/>
      <c r="AL25" s="289"/>
      <c r="AM25" s="290"/>
      <c r="AN25" s="83"/>
      <c r="AO25" s="342"/>
      <c r="AP25" s="343"/>
      <c r="AQ25" s="343"/>
      <c r="AR25" s="343"/>
      <c r="AS25" s="343"/>
      <c r="AT25" s="344"/>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19"/>
      <c r="C26" s="319"/>
      <c r="D26" s="320"/>
      <c r="E26" s="311"/>
      <c r="F26" s="312"/>
      <c r="G26" s="312"/>
      <c r="H26" s="312"/>
      <c r="I26" s="313"/>
      <c r="J26" s="279" t="str">
        <f ca="1">IF(AND('Mapa final'!$K$47="Media",'Mapa final'!$O$47="Leve"),CONCATENATE("R",'Mapa final'!$A$47),"")</f>
        <v/>
      </c>
      <c r="K26" s="280"/>
      <c r="L26" s="280" t="str">
        <f ca="1">IF(AND('Mapa final'!$K$53="Media",'Mapa final'!$O$53="Leve"),CONCATENATE("R",'Mapa final'!$A$53),"")</f>
        <v/>
      </c>
      <c r="M26" s="280"/>
      <c r="N26" s="280" t="str">
        <f ca="1">IF(AND('Mapa final'!$K$59="Media",'Mapa final'!$O$59="Leve"),CONCATENATE("R",'Mapa final'!$A$59),"")</f>
        <v/>
      </c>
      <c r="O26" s="281"/>
      <c r="P26" s="279" t="str">
        <f ca="1">IF(AND('Mapa final'!$K$47="Media",'Mapa final'!$O$47="Menor"),CONCATENATE("R",'Mapa final'!$A$47),"")</f>
        <v/>
      </c>
      <c r="Q26" s="280"/>
      <c r="R26" s="280" t="str">
        <f ca="1">IF(AND('Mapa final'!$K$53="Media",'Mapa final'!$O$53="Menor"),CONCATENATE("R",'Mapa final'!$A$53),"")</f>
        <v/>
      </c>
      <c r="S26" s="280"/>
      <c r="T26" s="280" t="str">
        <f ca="1">IF(AND('Mapa final'!$K$59="Media",'Mapa final'!$O$59="Menor"),CONCATENATE("R",'Mapa final'!$A$59),"")</f>
        <v/>
      </c>
      <c r="U26" s="281"/>
      <c r="V26" s="279" t="str">
        <f ca="1">IF(AND('Mapa final'!$K$47="Media",'Mapa final'!$O$47="Moderado"),CONCATENATE("R",'Mapa final'!$A$47),"")</f>
        <v>R7</v>
      </c>
      <c r="W26" s="280"/>
      <c r="X26" s="280" t="str">
        <f ca="1">IF(AND('Mapa final'!$K$53="Media",'Mapa final'!$O$53="Moderado"),CONCATENATE("R",'Mapa final'!$A$53),"")</f>
        <v>R8</v>
      </c>
      <c r="Y26" s="280"/>
      <c r="Z26" s="280" t="str">
        <f ca="1">IF(AND('Mapa final'!$K$59="Media",'Mapa final'!$O$59="Moderado"),CONCATENATE("R",'Mapa final'!$A$59),"")</f>
        <v>R9</v>
      </c>
      <c r="AA26" s="281"/>
      <c r="AB26" s="297" t="str">
        <f ca="1">IF(AND('Mapa final'!$K$47="Media",'Mapa final'!$O$47="Mayor"),CONCATENATE("R",'Mapa final'!$A$47),"")</f>
        <v/>
      </c>
      <c r="AC26" s="298"/>
      <c r="AD26" s="299" t="str">
        <f ca="1">IF(AND('Mapa final'!$K$53="Media",'Mapa final'!$O$53="Mayor"),CONCATENATE("R",'Mapa final'!$A$53),"")</f>
        <v/>
      </c>
      <c r="AE26" s="299"/>
      <c r="AF26" s="299" t="str">
        <f ca="1">IF(AND('Mapa final'!$K$59="Media",'Mapa final'!$O$59="Mayor"),CONCATENATE("R",'Mapa final'!$A$59),"")</f>
        <v/>
      </c>
      <c r="AG26" s="300"/>
      <c r="AH26" s="288" t="str">
        <f ca="1">IF(AND('Mapa final'!$K$47="Media",'Mapa final'!$O$47="Catastrófico"),CONCATENATE("R",'Mapa final'!$A$47),"")</f>
        <v/>
      </c>
      <c r="AI26" s="289"/>
      <c r="AJ26" s="289" t="str">
        <f ca="1">IF(AND('Mapa final'!$K$53="Media",'Mapa final'!$O$53="Catastrófico"),CONCATENATE("R",'Mapa final'!$A$53),"")</f>
        <v/>
      </c>
      <c r="AK26" s="289"/>
      <c r="AL26" s="289" t="str">
        <f ca="1">IF(AND('Mapa final'!$K$59="Media",'Mapa final'!$O$59="Catastrófico"),CONCATENATE("R",'Mapa final'!$A$59),"")</f>
        <v/>
      </c>
      <c r="AM26" s="290"/>
      <c r="AN26" s="83"/>
      <c r="AO26" s="342"/>
      <c r="AP26" s="343"/>
      <c r="AQ26" s="343"/>
      <c r="AR26" s="343"/>
      <c r="AS26" s="343"/>
      <c r="AT26" s="344"/>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19"/>
      <c r="C27" s="319"/>
      <c r="D27" s="320"/>
      <c r="E27" s="311"/>
      <c r="F27" s="312"/>
      <c r="G27" s="312"/>
      <c r="H27" s="312"/>
      <c r="I27" s="313"/>
      <c r="J27" s="279"/>
      <c r="K27" s="280"/>
      <c r="L27" s="280"/>
      <c r="M27" s="280"/>
      <c r="N27" s="280"/>
      <c r="O27" s="281"/>
      <c r="P27" s="279"/>
      <c r="Q27" s="280"/>
      <c r="R27" s="280"/>
      <c r="S27" s="280"/>
      <c r="T27" s="280"/>
      <c r="U27" s="281"/>
      <c r="V27" s="279"/>
      <c r="W27" s="280"/>
      <c r="X27" s="280"/>
      <c r="Y27" s="280"/>
      <c r="Z27" s="280"/>
      <c r="AA27" s="281"/>
      <c r="AB27" s="297"/>
      <c r="AC27" s="298"/>
      <c r="AD27" s="299"/>
      <c r="AE27" s="299"/>
      <c r="AF27" s="299"/>
      <c r="AG27" s="300"/>
      <c r="AH27" s="288"/>
      <c r="AI27" s="289"/>
      <c r="AJ27" s="289"/>
      <c r="AK27" s="289"/>
      <c r="AL27" s="289"/>
      <c r="AM27" s="290"/>
      <c r="AN27" s="83"/>
      <c r="AO27" s="342"/>
      <c r="AP27" s="343"/>
      <c r="AQ27" s="343"/>
      <c r="AR27" s="343"/>
      <c r="AS27" s="343"/>
      <c r="AT27" s="344"/>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19"/>
      <c r="C28" s="319"/>
      <c r="D28" s="320"/>
      <c r="E28" s="311"/>
      <c r="F28" s="312"/>
      <c r="G28" s="312"/>
      <c r="H28" s="312"/>
      <c r="I28" s="313"/>
      <c r="J28" s="279" t="str">
        <f ca="1">IF(AND('Mapa final'!$K$65="Media",'Mapa final'!$O$65="Leve"),CONCATENATE("R",'Mapa final'!$A$65),"")</f>
        <v/>
      </c>
      <c r="K28" s="280"/>
      <c r="L28" s="280" t="str">
        <f>IF(AND('Mapa final'!$K$71="Media",'Mapa final'!$O$71="Leve"),CONCATENATE("R",'Mapa final'!$A$71),"")</f>
        <v/>
      </c>
      <c r="M28" s="280"/>
      <c r="N28" s="280" t="str">
        <f>IF(AND('Mapa final'!$K$77="Media",'Mapa final'!$O$77="Leve"),CONCATENATE("R",'Mapa final'!$A$77),"")</f>
        <v/>
      </c>
      <c r="O28" s="281"/>
      <c r="P28" s="279" t="str">
        <f ca="1">IF(AND('Mapa final'!$K$65="Media",'Mapa final'!$O$65="Menor"),CONCATENATE("R",'Mapa final'!$A$65),"")</f>
        <v/>
      </c>
      <c r="Q28" s="280"/>
      <c r="R28" s="280" t="str">
        <f>IF(AND('Mapa final'!$K$71="Media",'Mapa final'!$O$71="Menor"),CONCATENATE("R",'Mapa final'!$A$71),"")</f>
        <v/>
      </c>
      <c r="S28" s="280"/>
      <c r="T28" s="280" t="str">
        <f>IF(AND('Mapa final'!$K$77="Media",'Mapa final'!$O$77="Menor"),CONCATENATE("R",'Mapa final'!$A$77),"")</f>
        <v/>
      </c>
      <c r="U28" s="281"/>
      <c r="V28" s="279" t="str">
        <f ca="1">IF(AND('Mapa final'!$K$65="Media",'Mapa final'!$O$65="Moderado"),CONCATENATE("R",'Mapa final'!$A$65),"")</f>
        <v/>
      </c>
      <c r="W28" s="280"/>
      <c r="X28" s="280" t="str">
        <f>IF(AND('Mapa final'!$K$71="Media",'Mapa final'!$O$71="Moderado"),CONCATENATE("R",'Mapa final'!$A$71),"")</f>
        <v/>
      </c>
      <c r="Y28" s="280"/>
      <c r="Z28" s="280" t="str">
        <f>IF(AND('Mapa final'!$K$77="Media",'Mapa final'!$O$77="Moderado"),CONCATENATE("R",'Mapa final'!$A$77),"")</f>
        <v/>
      </c>
      <c r="AA28" s="281"/>
      <c r="AB28" s="297" t="str">
        <f ca="1">IF(AND('Mapa final'!$K$65="Media",'Mapa final'!$O$65="Mayor"),CONCATENATE("R",'Mapa final'!$A$65),"")</f>
        <v/>
      </c>
      <c r="AC28" s="298"/>
      <c r="AD28" s="299" t="str">
        <f>IF(AND('Mapa final'!$K$71="Media",'Mapa final'!$O$71="Mayor"),CONCATENATE("R",'Mapa final'!$A$71),"")</f>
        <v/>
      </c>
      <c r="AE28" s="299"/>
      <c r="AF28" s="299" t="str">
        <f>IF(AND('Mapa final'!$K$77="Media",'Mapa final'!$O$77="Mayor"),CONCATENATE("R",'Mapa final'!$A$77),"")</f>
        <v/>
      </c>
      <c r="AG28" s="300"/>
      <c r="AH28" s="288" t="str">
        <f ca="1">IF(AND('Mapa final'!$K$65="Media",'Mapa final'!$O$65="Catastrófico"),CONCATENATE("R",'Mapa final'!$A$65),"")</f>
        <v/>
      </c>
      <c r="AI28" s="289"/>
      <c r="AJ28" s="289" t="str">
        <f>IF(AND('Mapa final'!$K$71="Media",'Mapa final'!$O$71="Catastrófico"),CONCATENATE("R",'Mapa final'!$A$71),"")</f>
        <v/>
      </c>
      <c r="AK28" s="289"/>
      <c r="AL28" s="289" t="str">
        <f>IF(AND('Mapa final'!$K$77="Media",'Mapa final'!$O$77="Catastrófico"),CONCATENATE("R",'Mapa final'!$A$77),"")</f>
        <v/>
      </c>
      <c r="AM28" s="290"/>
      <c r="AN28" s="83"/>
      <c r="AO28" s="342"/>
      <c r="AP28" s="343"/>
      <c r="AQ28" s="343"/>
      <c r="AR28" s="343"/>
      <c r="AS28" s="343"/>
      <c r="AT28" s="344"/>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4.95" thickBot="1" x14ac:dyDescent="0.3">
      <c r="A29" s="83"/>
      <c r="B29" s="319"/>
      <c r="C29" s="319"/>
      <c r="D29" s="320"/>
      <c r="E29" s="314"/>
      <c r="F29" s="315"/>
      <c r="G29" s="315"/>
      <c r="H29" s="315"/>
      <c r="I29" s="316"/>
      <c r="J29" s="279"/>
      <c r="K29" s="280"/>
      <c r="L29" s="280"/>
      <c r="M29" s="280"/>
      <c r="N29" s="280"/>
      <c r="O29" s="281"/>
      <c r="P29" s="282"/>
      <c r="Q29" s="283"/>
      <c r="R29" s="283"/>
      <c r="S29" s="283"/>
      <c r="T29" s="283"/>
      <c r="U29" s="284"/>
      <c r="V29" s="282"/>
      <c r="W29" s="283"/>
      <c r="X29" s="283"/>
      <c r="Y29" s="283"/>
      <c r="Z29" s="283"/>
      <c r="AA29" s="284"/>
      <c r="AB29" s="301"/>
      <c r="AC29" s="302"/>
      <c r="AD29" s="302"/>
      <c r="AE29" s="302"/>
      <c r="AF29" s="302"/>
      <c r="AG29" s="303"/>
      <c r="AH29" s="291"/>
      <c r="AI29" s="292"/>
      <c r="AJ29" s="292"/>
      <c r="AK29" s="292"/>
      <c r="AL29" s="292"/>
      <c r="AM29" s="293"/>
      <c r="AN29" s="83"/>
      <c r="AO29" s="345"/>
      <c r="AP29" s="346"/>
      <c r="AQ29" s="346"/>
      <c r="AR29" s="346"/>
      <c r="AS29" s="346"/>
      <c r="AT29" s="347"/>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19"/>
      <c r="C30" s="319"/>
      <c r="D30" s="320"/>
      <c r="E30" s="308" t="s">
        <v>106</v>
      </c>
      <c r="F30" s="309"/>
      <c r="G30" s="309"/>
      <c r="H30" s="309"/>
      <c r="I30" s="309"/>
      <c r="J30" s="276" t="str">
        <f ca="1">IF(AND('Mapa final'!$K$11="Baja",'Mapa final'!$O$11="Leve"),CONCATENATE("R",'Mapa final'!$A$11),"")</f>
        <v/>
      </c>
      <c r="K30" s="277"/>
      <c r="L30" s="277" t="str">
        <f ca="1">IF(AND('Mapa final'!$K$17="Baja",'Mapa final'!$O$17="Leve"),CONCATENATE("R",'Mapa final'!$A$17),"")</f>
        <v/>
      </c>
      <c r="M30" s="277"/>
      <c r="N30" s="277" t="str">
        <f ca="1">IF(AND('Mapa final'!$K$23="Baja",'Mapa final'!$O$23="Leve"),CONCATENATE("R",'Mapa final'!$A$23),"")</f>
        <v/>
      </c>
      <c r="O30" s="278"/>
      <c r="P30" s="286" t="str">
        <f ca="1">IF(AND('Mapa final'!$K$11="Baja",'Mapa final'!$O$11="Menor"),CONCATENATE("R",'Mapa final'!$A$11),"")</f>
        <v/>
      </c>
      <c r="Q30" s="286"/>
      <c r="R30" s="286" t="str">
        <f ca="1">IF(AND('Mapa final'!$K$17="Baja",'Mapa final'!$O$17="Menor"),CONCATENATE("R",'Mapa final'!$A$17),"")</f>
        <v/>
      </c>
      <c r="S30" s="286"/>
      <c r="T30" s="286" t="str">
        <f ca="1">IF(AND('Mapa final'!$K$23="Baja",'Mapa final'!$O$23="Menor"),CONCATENATE("R",'Mapa final'!$A$23),"")</f>
        <v/>
      </c>
      <c r="U30" s="287"/>
      <c r="V30" s="285" t="str">
        <f ca="1">IF(AND('Mapa final'!$K$11="Baja",'Mapa final'!$O$11="Moderado"),CONCATENATE("R",'Mapa final'!$A$11),"")</f>
        <v/>
      </c>
      <c r="W30" s="286"/>
      <c r="X30" s="286" t="str">
        <f ca="1">IF(AND('Mapa final'!$K$17="Baja",'Mapa final'!$O$17="Moderado"),CONCATENATE("R",'Mapa final'!$A$17),"")</f>
        <v/>
      </c>
      <c r="Y30" s="286"/>
      <c r="Z30" s="286" t="str">
        <f ca="1">IF(AND('Mapa final'!$K$23="Baja",'Mapa final'!$O$23="Moderado"),CONCATENATE("R",'Mapa final'!$A$23),"")</f>
        <v/>
      </c>
      <c r="AA30" s="287"/>
      <c r="AB30" s="304" t="str">
        <f ca="1">IF(AND('Mapa final'!$K$11="Baja",'Mapa final'!$O$11="Mayor"),CONCATENATE("R",'Mapa final'!$A$11),"")</f>
        <v/>
      </c>
      <c r="AC30" s="305"/>
      <c r="AD30" s="305" t="str">
        <f ca="1">IF(AND('Mapa final'!$K$17="Baja",'Mapa final'!$O$17="Mayor"),CONCATENATE("R",'Mapa final'!$A$17),"")</f>
        <v/>
      </c>
      <c r="AE30" s="305"/>
      <c r="AF30" s="305" t="str">
        <f ca="1">IF(AND('Mapa final'!$K$23="Baja",'Mapa final'!$O$23="Mayor"),CONCATENATE("R",'Mapa final'!$A$23),"")</f>
        <v/>
      </c>
      <c r="AG30" s="306"/>
      <c r="AH30" s="294" t="str">
        <f ca="1">IF(AND('Mapa final'!$K$11="Baja",'Mapa final'!$O$11="Catastrófico"),CONCATENATE("R",'Mapa final'!$A$11),"")</f>
        <v/>
      </c>
      <c r="AI30" s="295"/>
      <c r="AJ30" s="295" t="str">
        <f ca="1">IF(AND('Mapa final'!$K$17="Baja",'Mapa final'!$O$17="Catastrófico"),CONCATENATE("R",'Mapa final'!$A$17),"")</f>
        <v/>
      </c>
      <c r="AK30" s="295"/>
      <c r="AL30" s="295" t="str">
        <f ca="1">IF(AND('Mapa final'!$K$23="Baja",'Mapa final'!$O$23="Catastrófico"),CONCATENATE("R",'Mapa final'!$A$23),"")</f>
        <v/>
      </c>
      <c r="AM30" s="296"/>
      <c r="AN30" s="83"/>
      <c r="AO30" s="348" t="s">
        <v>79</v>
      </c>
      <c r="AP30" s="349"/>
      <c r="AQ30" s="349"/>
      <c r="AR30" s="349"/>
      <c r="AS30" s="349"/>
      <c r="AT30" s="350"/>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19"/>
      <c r="C31" s="319"/>
      <c r="D31" s="320"/>
      <c r="E31" s="311"/>
      <c r="F31" s="312"/>
      <c r="G31" s="312"/>
      <c r="H31" s="312"/>
      <c r="I31" s="317"/>
      <c r="J31" s="270"/>
      <c r="K31" s="271"/>
      <c r="L31" s="271"/>
      <c r="M31" s="271"/>
      <c r="N31" s="271"/>
      <c r="O31" s="272"/>
      <c r="P31" s="280"/>
      <c r="Q31" s="280"/>
      <c r="R31" s="280"/>
      <c r="S31" s="280"/>
      <c r="T31" s="280"/>
      <c r="U31" s="281"/>
      <c r="V31" s="279"/>
      <c r="W31" s="280"/>
      <c r="X31" s="280"/>
      <c r="Y31" s="280"/>
      <c r="Z31" s="280"/>
      <c r="AA31" s="281"/>
      <c r="AB31" s="297"/>
      <c r="AC31" s="298"/>
      <c r="AD31" s="298"/>
      <c r="AE31" s="298"/>
      <c r="AF31" s="298"/>
      <c r="AG31" s="300"/>
      <c r="AH31" s="288"/>
      <c r="AI31" s="289"/>
      <c r="AJ31" s="289"/>
      <c r="AK31" s="289"/>
      <c r="AL31" s="289"/>
      <c r="AM31" s="290"/>
      <c r="AN31" s="83"/>
      <c r="AO31" s="351"/>
      <c r="AP31" s="352"/>
      <c r="AQ31" s="352"/>
      <c r="AR31" s="352"/>
      <c r="AS31" s="352"/>
      <c r="AT31" s="35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19"/>
      <c r="C32" s="319"/>
      <c r="D32" s="320"/>
      <c r="E32" s="311"/>
      <c r="F32" s="312"/>
      <c r="G32" s="312"/>
      <c r="H32" s="312"/>
      <c r="I32" s="317"/>
      <c r="J32" s="270" t="str">
        <f ca="1">IF(AND('Mapa final'!$K$29="Baja",'Mapa final'!$O$29="Leve"),CONCATENATE("R",'Mapa final'!$A$29),"")</f>
        <v/>
      </c>
      <c r="K32" s="271"/>
      <c r="L32" s="271" t="str">
        <f ca="1">IF(AND('Mapa final'!$K$35="Baja",'Mapa final'!$O$35="Leve"),CONCATENATE("R",'Mapa final'!$A$35),"")</f>
        <v/>
      </c>
      <c r="M32" s="271"/>
      <c r="N32" s="271" t="str">
        <f ca="1">IF(AND('Mapa final'!$K$41="Baja",'Mapa final'!$O$41="Leve"),CONCATENATE("R",'Mapa final'!$A$41),"")</f>
        <v/>
      </c>
      <c r="O32" s="272"/>
      <c r="P32" s="280" t="str">
        <f ca="1">IF(AND('Mapa final'!$K$29="Baja",'Mapa final'!$O$29="Menor"),CONCATENATE("R",'Mapa final'!$A$29),"")</f>
        <v/>
      </c>
      <c r="Q32" s="280"/>
      <c r="R32" s="280" t="str">
        <f ca="1">IF(AND('Mapa final'!$K$35="Baja",'Mapa final'!$O$35="Menor"),CONCATENATE("R",'Mapa final'!$A$35),"")</f>
        <v/>
      </c>
      <c r="S32" s="280"/>
      <c r="T32" s="280" t="str">
        <f ca="1">IF(AND('Mapa final'!$K$41="Baja",'Mapa final'!$O$41="Menor"),CONCATENATE("R",'Mapa final'!$A$41),"")</f>
        <v/>
      </c>
      <c r="U32" s="281"/>
      <c r="V32" s="279" t="str">
        <f ca="1">IF(AND('Mapa final'!$K$29="Baja",'Mapa final'!$O$29="Moderado"),CONCATENATE("R",'Mapa final'!$A$29),"")</f>
        <v/>
      </c>
      <c r="W32" s="280"/>
      <c r="X32" s="280" t="str">
        <f ca="1">IF(AND('Mapa final'!$K$35="Baja",'Mapa final'!$O$35="Moderado"),CONCATENATE("R",'Mapa final'!$A$35),"")</f>
        <v/>
      </c>
      <c r="Y32" s="280"/>
      <c r="Z32" s="280" t="str">
        <f ca="1">IF(AND('Mapa final'!$K$41="Baja",'Mapa final'!$O$41="Moderado"),CONCATENATE("R",'Mapa final'!$A$41),"")</f>
        <v/>
      </c>
      <c r="AA32" s="281"/>
      <c r="AB32" s="297" t="str">
        <f ca="1">IF(AND('Mapa final'!$K$29="Baja",'Mapa final'!$O$29="Mayor"),CONCATENATE("R",'Mapa final'!$A$29),"")</f>
        <v/>
      </c>
      <c r="AC32" s="298"/>
      <c r="AD32" s="299" t="str">
        <f ca="1">IF(AND('Mapa final'!$K$35="Baja",'Mapa final'!$O$35="Mayor"),CONCATENATE("R",'Mapa final'!$A$35),"")</f>
        <v/>
      </c>
      <c r="AE32" s="299"/>
      <c r="AF32" s="299" t="str">
        <f ca="1">IF(AND('Mapa final'!$K$41="Baja",'Mapa final'!$O$41="Mayor"),CONCATENATE("R",'Mapa final'!$A$41),"")</f>
        <v/>
      </c>
      <c r="AG32" s="300"/>
      <c r="AH32" s="288" t="str">
        <f ca="1">IF(AND('Mapa final'!$K$29="Baja",'Mapa final'!$O$29="Catastrófico"),CONCATENATE("R",'Mapa final'!$A$29),"")</f>
        <v/>
      </c>
      <c r="AI32" s="289"/>
      <c r="AJ32" s="289" t="str">
        <f ca="1">IF(AND('Mapa final'!$K$35="Baja",'Mapa final'!$O$35="Catastrófico"),CONCATENATE("R",'Mapa final'!$A$35),"")</f>
        <v/>
      </c>
      <c r="AK32" s="289"/>
      <c r="AL32" s="289" t="str">
        <f ca="1">IF(AND('Mapa final'!$K$41="Baja",'Mapa final'!$O$41="Catastrófico"),CONCATENATE("R",'Mapa final'!$A$41),"")</f>
        <v/>
      </c>
      <c r="AM32" s="290"/>
      <c r="AN32" s="83"/>
      <c r="AO32" s="351"/>
      <c r="AP32" s="352"/>
      <c r="AQ32" s="352"/>
      <c r="AR32" s="352"/>
      <c r="AS32" s="352"/>
      <c r="AT32" s="35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19"/>
      <c r="C33" s="319"/>
      <c r="D33" s="320"/>
      <c r="E33" s="311"/>
      <c r="F33" s="312"/>
      <c r="G33" s="312"/>
      <c r="H33" s="312"/>
      <c r="I33" s="317"/>
      <c r="J33" s="270"/>
      <c r="K33" s="271"/>
      <c r="L33" s="271"/>
      <c r="M33" s="271"/>
      <c r="N33" s="271"/>
      <c r="O33" s="272"/>
      <c r="P33" s="280"/>
      <c r="Q33" s="280"/>
      <c r="R33" s="280"/>
      <c r="S33" s="280"/>
      <c r="T33" s="280"/>
      <c r="U33" s="281"/>
      <c r="V33" s="279"/>
      <c r="W33" s="280"/>
      <c r="X33" s="280"/>
      <c r="Y33" s="280"/>
      <c r="Z33" s="280"/>
      <c r="AA33" s="281"/>
      <c r="AB33" s="297"/>
      <c r="AC33" s="298"/>
      <c r="AD33" s="299"/>
      <c r="AE33" s="299"/>
      <c r="AF33" s="299"/>
      <c r="AG33" s="300"/>
      <c r="AH33" s="288"/>
      <c r="AI33" s="289"/>
      <c r="AJ33" s="289"/>
      <c r="AK33" s="289"/>
      <c r="AL33" s="289"/>
      <c r="AM33" s="290"/>
      <c r="AN33" s="83"/>
      <c r="AO33" s="351"/>
      <c r="AP33" s="352"/>
      <c r="AQ33" s="352"/>
      <c r="AR33" s="352"/>
      <c r="AS33" s="352"/>
      <c r="AT33" s="35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19"/>
      <c r="C34" s="319"/>
      <c r="D34" s="320"/>
      <c r="E34" s="311"/>
      <c r="F34" s="312"/>
      <c r="G34" s="312"/>
      <c r="H34" s="312"/>
      <c r="I34" s="317"/>
      <c r="J34" s="270" t="str">
        <f ca="1">IF(AND('Mapa final'!$K$47="Baja",'Mapa final'!$O$47="Leve"),CONCATENATE("R",'Mapa final'!$A$47),"")</f>
        <v/>
      </c>
      <c r="K34" s="271"/>
      <c r="L34" s="271" t="str">
        <f ca="1">IF(AND('Mapa final'!$K$53="Baja",'Mapa final'!$O$53="Leve"),CONCATENATE("R",'Mapa final'!$A$53),"")</f>
        <v/>
      </c>
      <c r="M34" s="271"/>
      <c r="N34" s="271" t="str">
        <f ca="1">IF(AND('Mapa final'!$K$59="Baja",'Mapa final'!$O$59="Leve"),CONCATENATE("R",'Mapa final'!$A$59),"")</f>
        <v/>
      </c>
      <c r="O34" s="272"/>
      <c r="P34" s="280" t="str">
        <f ca="1">IF(AND('Mapa final'!$K$47="Baja",'Mapa final'!$O$47="Menor"),CONCATENATE("R",'Mapa final'!$A$47),"")</f>
        <v/>
      </c>
      <c r="Q34" s="280"/>
      <c r="R34" s="280" t="str">
        <f ca="1">IF(AND('Mapa final'!$K$53="Baja",'Mapa final'!$O$53="Menor"),CONCATENATE("R",'Mapa final'!$A$53),"")</f>
        <v/>
      </c>
      <c r="S34" s="280"/>
      <c r="T34" s="280" t="str">
        <f ca="1">IF(AND('Mapa final'!$K$59="Baja",'Mapa final'!$O$59="Menor"),CONCATENATE("R",'Mapa final'!$A$59),"")</f>
        <v/>
      </c>
      <c r="U34" s="281"/>
      <c r="V34" s="279" t="str">
        <f ca="1">IF(AND('Mapa final'!$K$47="Baja",'Mapa final'!$O$47="Moderado"),CONCATENATE("R",'Mapa final'!$A$47),"")</f>
        <v/>
      </c>
      <c r="W34" s="280"/>
      <c r="X34" s="280" t="str">
        <f ca="1">IF(AND('Mapa final'!$K$53="Baja",'Mapa final'!$O$53="Moderado"),CONCATENATE("R",'Mapa final'!$A$53),"")</f>
        <v/>
      </c>
      <c r="Y34" s="280"/>
      <c r="Z34" s="280" t="str">
        <f ca="1">IF(AND('Mapa final'!$K$59="Baja",'Mapa final'!$O$59="Moderado"),CONCATENATE("R",'Mapa final'!$A$59),"")</f>
        <v/>
      </c>
      <c r="AA34" s="281"/>
      <c r="AB34" s="297" t="str">
        <f ca="1">IF(AND('Mapa final'!$K$47="Baja",'Mapa final'!$O$47="Mayor"),CONCATENATE("R",'Mapa final'!$A$47),"")</f>
        <v/>
      </c>
      <c r="AC34" s="298"/>
      <c r="AD34" s="299" t="str">
        <f ca="1">IF(AND('Mapa final'!$K$53="Baja",'Mapa final'!$O$53="Mayor"),CONCATENATE("R",'Mapa final'!$A$53),"")</f>
        <v/>
      </c>
      <c r="AE34" s="299"/>
      <c r="AF34" s="299" t="str">
        <f ca="1">IF(AND('Mapa final'!$K$59="Baja",'Mapa final'!$O$59="Mayor"),CONCATENATE("R",'Mapa final'!$A$59),"")</f>
        <v/>
      </c>
      <c r="AG34" s="300"/>
      <c r="AH34" s="288" t="str">
        <f ca="1">IF(AND('Mapa final'!$K$47="Baja",'Mapa final'!$O$47="Catastrófico"),CONCATENATE("R",'Mapa final'!$A$47),"")</f>
        <v/>
      </c>
      <c r="AI34" s="289"/>
      <c r="AJ34" s="289" t="str">
        <f ca="1">IF(AND('Mapa final'!$K$53="Baja",'Mapa final'!$O$53="Catastrófico"),CONCATENATE("R",'Mapa final'!$A$53),"")</f>
        <v/>
      </c>
      <c r="AK34" s="289"/>
      <c r="AL34" s="289" t="str">
        <f ca="1">IF(AND('Mapa final'!$K$59="Baja",'Mapa final'!$O$59="Catastrófico"),CONCATENATE("R",'Mapa final'!$A$59),"")</f>
        <v/>
      </c>
      <c r="AM34" s="290"/>
      <c r="AN34" s="83"/>
      <c r="AO34" s="351"/>
      <c r="AP34" s="352"/>
      <c r="AQ34" s="352"/>
      <c r="AR34" s="352"/>
      <c r="AS34" s="352"/>
      <c r="AT34" s="35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19"/>
      <c r="C35" s="319"/>
      <c r="D35" s="320"/>
      <c r="E35" s="311"/>
      <c r="F35" s="312"/>
      <c r="G35" s="312"/>
      <c r="H35" s="312"/>
      <c r="I35" s="317"/>
      <c r="J35" s="270"/>
      <c r="K35" s="271"/>
      <c r="L35" s="271"/>
      <c r="M35" s="271"/>
      <c r="N35" s="271"/>
      <c r="O35" s="272"/>
      <c r="P35" s="280"/>
      <c r="Q35" s="280"/>
      <c r="R35" s="280"/>
      <c r="S35" s="280"/>
      <c r="T35" s="280"/>
      <c r="U35" s="281"/>
      <c r="V35" s="279"/>
      <c r="W35" s="280"/>
      <c r="X35" s="280"/>
      <c r="Y35" s="280"/>
      <c r="Z35" s="280"/>
      <c r="AA35" s="281"/>
      <c r="AB35" s="297"/>
      <c r="AC35" s="298"/>
      <c r="AD35" s="299"/>
      <c r="AE35" s="299"/>
      <c r="AF35" s="299"/>
      <c r="AG35" s="300"/>
      <c r="AH35" s="288"/>
      <c r="AI35" s="289"/>
      <c r="AJ35" s="289"/>
      <c r="AK35" s="289"/>
      <c r="AL35" s="289"/>
      <c r="AM35" s="290"/>
      <c r="AN35" s="83"/>
      <c r="AO35" s="351"/>
      <c r="AP35" s="352"/>
      <c r="AQ35" s="352"/>
      <c r="AR35" s="352"/>
      <c r="AS35" s="352"/>
      <c r="AT35" s="35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19"/>
      <c r="C36" s="319"/>
      <c r="D36" s="320"/>
      <c r="E36" s="311"/>
      <c r="F36" s="312"/>
      <c r="G36" s="312"/>
      <c r="H36" s="312"/>
      <c r="I36" s="317"/>
      <c r="J36" s="270" t="str">
        <f ca="1">IF(AND('Mapa final'!$K$65="Baja",'Mapa final'!$O$65="Leve"),CONCATENATE("R",'Mapa final'!$A$65),"")</f>
        <v/>
      </c>
      <c r="K36" s="271"/>
      <c r="L36" s="271" t="str">
        <f>IF(AND('Mapa final'!$K$71="Baja",'Mapa final'!$O$71="Leve"),CONCATENATE("R",'Mapa final'!$A$71),"")</f>
        <v/>
      </c>
      <c r="M36" s="271"/>
      <c r="N36" s="271" t="str">
        <f>IF(AND('Mapa final'!$K$77="Baja",'Mapa final'!$O$77="Leve"),CONCATENATE("R",'Mapa final'!$A$77),"")</f>
        <v/>
      </c>
      <c r="O36" s="272"/>
      <c r="P36" s="280" t="str">
        <f ca="1">IF(AND('Mapa final'!$K$65="Baja",'Mapa final'!$O$65="Menor"),CONCATENATE("R",'Mapa final'!$A$65),"")</f>
        <v/>
      </c>
      <c r="Q36" s="280"/>
      <c r="R36" s="280" t="str">
        <f>IF(AND('Mapa final'!$K$71="Baja",'Mapa final'!$O$71="Menor"),CONCATENATE("R",'Mapa final'!$A$71),"")</f>
        <v/>
      </c>
      <c r="S36" s="280"/>
      <c r="T36" s="280" t="str">
        <f>IF(AND('Mapa final'!$K$77="Baja",'Mapa final'!$O$77="Menor"),CONCATENATE("R",'Mapa final'!$A$77),"")</f>
        <v/>
      </c>
      <c r="U36" s="281"/>
      <c r="V36" s="279" t="str">
        <f ca="1">IF(AND('Mapa final'!$K$65="Baja",'Mapa final'!$O$65="Moderado"),CONCATENATE("R",'Mapa final'!$A$65),"")</f>
        <v/>
      </c>
      <c r="W36" s="280"/>
      <c r="X36" s="280" t="str">
        <f>IF(AND('Mapa final'!$K$71="Baja",'Mapa final'!$O$71="Moderado"),CONCATENATE("R",'Mapa final'!$A$71),"")</f>
        <v/>
      </c>
      <c r="Y36" s="280"/>
      <c r="Z36" s="280" t="str">
        <f>IF(AND('Mapa final'!$K$77="Baja",'Mapa final'!$O$77="Moderado"),CONCATENATE("R",'Mapa final'!$A$77),"")</f>
        <v/>
      </c>
      <c r="AA36" s="281"/>
      <c r="AB36" s="297" t="str">
        <f ca="1">IF(AND('Mapa final'!$K$65="Baja",'Mapa final'!$O$65="Mayor"),CONCATENATE("R",'Mapa final'!$A$65),"")</f>
        <v/>
      </c>
      <c r="AC36" s="298"/>
      <c r="AD36" s="299" t="str">
        <f>IF(AND('Mapa final'!$K$71="Baja",'Mapa final'!$O$71="Mayor"),CONCATENATE("R",'Mapa final'!$A$71),"")</f>
        <v/>
      </c>
      <c r="AE36" s="299"/>
      <c r="AF36" s="299" t="str">
        <f>IF(AND('Mapa final'!$K$77="Baja",'Mapa final'!$O$77="Mayor"),CONCATENATE("R",'Mapa final'!$A$77),"")</f>
        <v/>
      </c>
      <c r="AG36" s="300"/>
      <c r="AH36" s="288" t="str">
        <f ca="1">IF(AND('Mapa final'!$K$65="Baja",'Mapa final'!$O$65="Catastrófico"),CONCATENATE("R",'Mapa final'!$A$65),"")</f>
        <v/>
      </c>
      <c r="AI36" s="289"/>
      <c r="AJ36" s="289" t="str">
        <f>IF(AND('Mapa final'!$K$71="Baja",'Mapa final'!$O$71="Catastrófico"),CONCATENATE("R",'Mapa final'!$A$71),"")</f>
        <v/>
      </c>
      <c r="AK36" s="289"/>
      <c r="AL36" s="289" t="str">
        <f>IF(AND('Mapa final'!$K$77="Baja",'Mapa final'!$O$77="Catastrófico"),CONCATENATE("R",'Mapa final'!$A$77),"")</f>
        <v/>
      </c>
      <c r="AM36" s="290"/>
      <c r="AN36" s="83"/>
      <c r="AO36" s="351"/>
      <c r="AP36" s="352"/>
      <c r="AQ36" s="352"/>
      <c r="AR36" s="352"/>
      <c r="AS36" s="352"/>
      <c r="AT36" s="35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4.95" thickBot="1" x14ac:dyDescent="0.3">
      <c r="A37" s="83"/>
      <c r="B37" s="319"/>
      <c r="C37" s="319"/>
      <c r="D37" s="320"/>
      <c r="E37" s="314"/>
      <c r="F37" s="315"/>
      <c r="G37" s="315"/>
      <c r="H37" s="315"/>
      <c r="I37" s="315"/>
      <c r="J37" s="273"/>
      <c r="K37" s="274"/>
      <c r="L37" s="274"/>
      <c r="M37" s="274"/>
      <c r="N37" s="274"/>
      <c r="O37" s="275"/>
      <c r="P37" s="283"/>
      <c r="Q37" s="283"/>
      <c r="R37" s="283"/>
      <c r="S37" s="283"/>
      <c r="T37" s="283"/>
      <c r="U37" s="284"/>
      <c r="V37" s="282"/>
      <c r="W37" s="283"/>
      <c r="X37" s="283"/>
      <c r="Y37" s="283"/>
      <c r="Z37" s="283"/>
      <c r="AA37" s="284"/>
      <c r="AB37" s="301"/>
      <c r="AC37" s="302"/>
      <c r="AD37" s="302"/>
      <c r="AE37" s="302"/>
      <c r="AF37" s="302"/>
      <c r="AG37" s="303"/>
      <c r="AH37" s="291"/>
      <c r="AI37" s="292"/>
      <c r="AJ37" s="292"/>
      <c r="AK37" s="292"/>
      <c r="AL37" s="292"/>
      <c r="AM37" s="293"/>
      <c r="AN37" s="83"/>
      <c r="AO37" s="354"/>
      <c r="AP37" s="355"/>
      <c r="AQ37" s="355"/>
      <c r="AR37" s="355"/>
      <c r="AS37" s="355"/>
      <c r="AT37" s="356"/>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19"/>
      <c r="C38" s="319"/>
      <c r="D38" s="320"/>
      <c r="E38" s="308" t="s">
        <v>105</v>
      </c>
      <c r="F38" s="309"/>
      <c r="G38" s="309"/>
      <c r="H38" s="309"/>
      <c r="I38" s="310"/>
      <c r="J38" s="276" t="str">
        <f ca="1">IF(AND('Mapa final'!$K$11="Muy Baja",'Mapa final'!$O$11="Leve"),CONCATENATE("R",'Mapa final'!$A$11),"")</f>
        <v/>
      </c>
      <c r="K38" s="277"/>
      <c r="L38" s="277" t="str">
        <f ca="1">IF(AND('Mapa final'!$K$17="Muy Baja",'Mapa final'!$O$17="Leve"),CONCATENATE("R",'Mapa final'!$A$17),"")</f>
        <v/>
      </c>
      <c r="M38" s="277"/>
      <c r="N38" s="277" t="str">
        <f ca="1">IF(AND('Mapa final'!$K$23="Muy Baja",'Mapa final'!$O$23="Leve"),CONCATENATE("R",'Mapa final'!$A$23),"")</f>
        <v/>
      </c>
      <c r="O38" s="278"/>
      <c r="P38" s="276" t="str">
        <f ca="1">IF(AND('Mapa final'!$K$11="Muy Baja",'Mapa final'!$O$11="Menor"),CONCATENATE("R",'Mapa final'!$A$11),"")</f>
        <v/>
      </c>
      <c r="Q38" s="277"/>
      <c r="R38" s="277" t="str">
        <f ca="1">IF(AND('Mapa final'!$K$17="Muy Baja",'Mapa final'!$O$17="Menor"),CONCATENATE("R",'Mapa final'!$A$17),"")</f>
        <v/>
      </c>
      <c r="S38" s="277"/>
      <c r="T38" s="277" t="str">
        <f ca="1">IF(AND('Mapa final'!$K$23="Muy Baja",'Mapa final'!$O$23="Menor"),CONCATENATE("R",'Mapa final'!$A$23),"")</f>
        <v/>
      </c>
      <c r="U38" s="278"/>
      <c r="V38" s="285" t="str">
        <f ca="1">IF(AND('Mapa final'!$K$11="Muy Baja",'Mapa final'!$O$11="Moderado"),CONCATENATE("R",'Mapa final'!$A$11),"")</f>
        <v/>
      </c>
      <c r="W38" s="286"/>
      <c r="X38" s="286" t="str">
        <f ca="1">IF(AND('Mapa final'!$K$17="Muy Baja",'Mapa final'!$O$17="Moderado"),CONCATENATE("R",'Mapa final'!$A$17),"")</f>
        <v/>
      </c>
      <c r="Y38" s="286"/>
      <c r="Z38" s="286" t="str">
        <f ca="1">IF(AND('Mapa final'!$K$23="Muy Baja",'Mapa final'!$O$23="Moderado"),CONCATENATE("R",'Mapa final'!$A$23),"")</f>
        <v/>
      </c>
      <c r="AA38" s="287"/>
      <c r="AB38" s="304" t="str">
        <f ca="1">IF(AND('Mapa final'!$K$11="Muy Baja",'Mapa final'!$O$11="Mayor"),CONCATENATE("R",'Mapa final'!$A$11),"")</f>
        <v/>
      </c>
      <c r="AC38" s="305"/>
      <c r="AD38" s="305" t="str">
        <f ca="1">IF(AND('Mapa final'!$K$17="Muy Baja",'Mapa final'!$O$17="Mayor"),CONCATENATE("R",'Mapa final'!$A$17),"")</f>
        <v/>
      </c>
      <c r="AE38" s="305"/>
      <c r="AF38" s="305" t="str">
        <f ca="1">IF(AND('Mapa final'!$K$23="Muy Baja",'Mapa final'!$O$23="Mayor"),CONCATENATE("R",'Mapa final'!$A$23),"")</f>
        <v/>
      </c>
      <c r="AG38" s="306"/>
      <c r="AH38" s="294" t="str">
        <f ca="1">IF(AND('Mapa final'!$K$11="Muy Baja",'Mapa final'!$O$11="Catastrófico"),CONCATENATE("R",'Mapa final'!$A$11),"")</f>
        <v/>
      </c>
      <c r="AI38" s="295"/>
      <c r="AJ38" s="295" t="str">
        <f ca="1">IF(AND('Mapa final'!$K$17="Muy Baja",'Mapa final'!$O$17="Catastrófico"),CONCATENATE("R",'Mapa final'!$A$17),"")</f>
        <v/>
      </c>
      <c r="AK38" s="295"/>
      <c r="AL38" s="295" t="str">
        <f ca="1">IF(AND('Mapa final'!$K$23="Muy Baja",'Mapa final'!$O$23="Catastrófico"),CONCATENATE("R",'Mapa final'!$A$23),"")</f>
        <v/>
      </c>
      <c r="AM38" s="296"/>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19"/>
      <c r="C39" s="319"/>
      <c r="D39" s="320"/>
      <c r="E39" s="311"/>
      <c r="F39" s="312"/>
      <c r="G39" s="312"/>
      <c r="H39" s="312"/>
      <c r="I39" s="313"/>
      <c r="J39" s="270"/>
      <c r="K39" s="271"/>
      <c r="L39" s="271"/>
      <c r="M39" s="271"/>
      <c r="N39" s="271"/>
      <c r="O39" s="272"/>
      <c r="P39" s="270"/>
      <c r="Q39" s="271"/>
      <c r="R39" s="271"/>
      <c r="S39" s="271"/>
      <c r="T39" s="271"/>
      <c r="U39" s="272"/>
      <c r="V39" s="279"/>
      <c r="W39" s="280"/>
      <c r="X39" s="280"/>
      <c r="Y39" s="280"/>
      <c r="Z39" s="280"/>
      <c r="AA39" s="281"/>
      <c r="AB39" s="297"/>
      <c r="AC39" s="298"/>
      <c r="AD39" s="298"/>
      <c r="AE39" s="298"/>
      <c r="AF39" s="298"/>
      <c r="AG39" s="300"/>
      <c r="AH39" s="288"/>
      <c r="AI39" s="289"/>
      <c r="AJ39" s="289"/>
      <c r="AK39" s="289"/>
      <c r="AL39" s="289"/>
      <c r="AM39" s="290"/>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19"/>
      <c r="C40" s="319"/>
      <c r="D40" s="320"/>
      <c r="E40" s="311"/>
      <c r="F40" s="312"/>
      <c r="G40" s="312"/>
      <c r="H40" s="312"/>
      <c r="I40" s="313"/>
      <c r="J40" s="270" t="str">
        <f ca="1">IF(AND('Mapa final'!$K$29="Muy Baja",'Mapa final'!$O$29="Leve"),CONCATENATE("R",'Mapa final'!$A$29),"")</f>
        <v/>
      </c>
      <c r="K40" s="271"/>
      <c r="L40" s="271" t="str">
        <f ca="1">IF(AND('Mapa final'!$K$35="Muy Baja",'Mapa final'!$O$35="Leve"),CONCATENATE("R",'Mapa final'!$A$35),"")</f>
        <v/>
      </c>
      <c r="M40" s="271"/>
      <c r="N40" s="271" t="str">
        <f ca="1">IF(AND('Mapa final'!$K$41="Muy Baja",'Mapa final'!$O$41="Leve"),CONCATENATE("R",'Mapa final'!$A$41),"")</f>
        <v/>
      </c>
      <c r="O40" s="272"/>
      <c r="P40" s="270" t="str">
        <f ca="1">IF(AND('Mapa final'!$K$29="Muy Baja",'Mapa final'!$O$29="Menor"),CONCATENATE("R",'Mapa final'!$A$29),"")</f>
        <v/>
      </c>
      <c r="Q40" s="271"/>
      <c r="R40" s="271" t="str">
        <f ca="1">IF(AND('Mapa final'!$K$35="Muy Baja",'Mapa final'!$O$35="Menor"),CONCATENATE("R",'Mapa final'!$A$35),"")</f>
        <v/>
      </c>
      <c r="S40" s="271"/>
      <c r="T40" s="271" t="str">
        <f ca="1">IF(AND('Mapa final'!$K$41="Muy Baja",'Mapa final'!$O$41="Menor"),CONCATENATE("R",'Mapa final'!$A$41),"")</f>
        <v/>
      </c>
      <c r="U40" s="272"/>
      <c r="V40" s="279" t="str">
        <f ca="1">IF(AND('Mapa final'!$K$29="Muy Baja",'Mapa final'!$O$29="Moderado"),CONCATENATE("R",'Mapa final'!$A$29),"")</f>
        <v/>
      </c>
      <c r="W40" s="280"/>
      <c r="X40" s="280" t="str">
        <f ca="1">IF(AND('Mapa final'!$K$35="Muy Baja",'Mapa final'!$O$35="Moderado"),CONCATENATE("R",'Mapa final'!$A$35),"")</f>
        <v/>
      </c>
      <c r="Y40" s="280"/>
      <c r="Z40" s="280" t="str">
        <f ca="1">IF(AND('Mapa final'!$K$41="Muy Baja",'Mapa final'!$O$41="Moderado"),CONCATENATE("R",'Mapa final'!$A$41),"")</f>
        <v/>
      </c>
      <c r="AA40" s="281"/>
      <c r="AB40" s="297" t="str">
        <f ca="1">IF(AND('Mapa final'!$K$29="Muy Baja",'Mapa final'!$O$29="Mayor"),CONCATENATE("R",'Mapa final'!$A$29),"")</f>
        <v/>
      </c>
      <c r="AC40" s="298"/>
      <c r="AD40" s="299" t="str">
        <f ca="1">IF(AND('Mapa final'!$K$35="Muy Baja",'Mapa final'!$O$35="Mayor"),CONCATENATE("R",'Mapa final'!$A$35),"")</f>
        <v/>
      </c>
      <c r="AE40" s="299"/>
      <c r="AF40" s="299" t="str">
        <f ca="1">IF(AND('Mapa final'!$K$41="Muy Baja",'Mapa final'!$O$41="Mayor"),CONCATENATE("R",'Mapa final'!$A$41),"")</f>
        <v/>
      </c>
      <c r="AG40" s="300"/>
      <c r="AH40" s="288" t="str">
        <f ca="1">IF(AND('Mapa final'!$K$29="Muy Baja",'Mapa final'!$O$29="Catastrófico"),CONCATENATE("R",'Mapa final'!$A$29),"")</f>
        <v/>
      </c>
      <c r="AI40" s="289"/>
      <c r="AJ40" s="289" t="str">
        <f ca="1">IF(AND('Mapa final'!$K$35="Muy Baja",'Mapa final'!$O$35="Catastrófico"),CONCATENATE("R",'Mapa final'!$A$35),"")</f>
        <v/>
      </c>
      <c r="AK40" s="289"/>
      <c r="AL40" s="289" t="str">
        <f ca="1">IF(AND('Mapa final'!$K$41="Muy Baja",'Mapa final'!$O$41="Catastrófico"),CONCATENATE("R",'Mapa final'!$A$41),"")</f>
        <v/>
      </c>
      <c r="AM40" s="290"/>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19"/>
      <c r="C41" s="319"/>
      <c r="D41" s="320"/>
      <c r="E41" s="311"/>
      <c r="F41" s="312"/>
      <c r="G41" s="312"/>
      <c r="H41" s="312"/>
      <c r="I41" s="313"/>
      <c r="J41" s="270"/>
      <c r="K41" s="271"/>
      <c r="L41" s="271"/>
      <c r="M41" s="271"/>
      <c r="N41" s="271"/>
      <c r="O41" s="272"/>
      <c r="P41" s="270"/>
      <c r="Q41" s="271"/>
      <c r="R41" s="271"/>
      <c r="S41" s="271"/>
      <c r="T41" s="271"/>
      <c r="U41" s="272"/>
      <c r="V41" s="279"/>
      <c r="W41" s="280"/>
      <c r="X41" s="280"/>
      <c r="Y41" s="280"/>
      <c r="Z41" s="280"/>
      <c r="AA41" s="281"/>
      <c r="AB41" s="297"/>
      <c r="AC41" s="298"/>
      <c r="AD41" s="299"/>
      <c r="AE41" s="299"/>
      <c r="AF41" s="299"/>
      <c r="AG41" s="300"/>
      <c r="AH41" s="288"/>
      <c r="AI41" s="289"/>
      <c r="AJ41" s="289"/>
      <c r="AK41" s="289"/>
      <c r="AL41" s="289"/>
      <c r="AM41" s="290"/>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19"/>
      <c r="C42" s="319"/>
      <c r="D42" s="320"/>
      <c r="E42" s="311"/>
      <c r="F42" s="312"/>
      <c r="G42" s="312"/>
      <c r="H42" s="312"/>
      <c r="I42" s="313"/>
      <c r="J42" s="270" t="str">
        <f ca="1">IF(AND('Mapa final'!$K$47="Muy Baja",'Mapa final'!$O$47="Leve"),CONCATENATE("R",'Mapa final'!$A$47),"")</f>
        <v/>
      </c>
      <c r="K42" s="271"/>
      <c r="L42" s="271" t="str">
        <f ca="1">IF(AND('Mapa final'!$K$53="Muy Baja",'Mapa final'!$O$53="Leve"),CONCATENATE("R",'Mapa final'!$A$53),"")</f>
        <v/>
      </c>
      <c r="M42" s="271"/>
      <c r="N42" s="271" t="str">
        <f ca="1">IF(AND('Mapa final'!$K$59="Muy Baja",'Mapa final'!$O$59="Leve"),CONCATENATE("R",'Mapa final'!$A$59),"")</f>
        <v/>
      </c>
      <c r="O42" s="272"/>
      <c r="P42" s="270" t="str">
        <f ca="1">IF(AND('Mapa final'!$K$47="Muy Baja",'Mapa final'!$O$47="Menor"),CONCATENATE("R",'Mapa final'!$A$47),"")</f>
        <v/>
      </c>
      <c r="Q42" s="271"/>
      <c r="R42" s="271" t="str">
        <f ca="1">IF(AND('Mapa final'!$K$53="Muy Baja",'Mapa final'!$O$53="Menor"),CONCATENATE("R",'Mapa final'!$A$53),"")</f>
        <v/>
      </c>
      <c r="S42" s="271"/>
      <c r="T42" s="271" t="str">
        <f ca="1">IF(AND('Mapa final'!$K$59="Muy Baja",'Mapa final'!$O$59="Menor"),CONCATENATE("R",'Mapa final'!$A$59),"")</f>
        <v/>
      </c>
      <c r="U42" s="272"/>
      <c r="V42" s="279" t="str">
        <f ca="1">IF(AND('Mapa final'!$K$47="Muy Baja",'Mapa final'!$O$47="Moderado"),CONCATENATE("R",'Mapa final'!$A$47),"")</f>
        <v/>
      </c>
      <c r="W42" s="280"/>
      <c r="X42" s="280" t="str">
        <f ca="1">IF(AND('Mapa final'!$K$53="Muy Baja",'Mapa final'!$O$53="Moderado"),CONCATENATE("R",'Mapa final'!$A$53),"")</f>
        <v/>
      </c>
      <c r="Y42" s="280"/>
      <c r="Z42" s="280" t="str">
        <f ca="1">IF(AND('Mapa final'!$K$59="Muy Baja",'Mapa final'!$O$59="Moderado"),CONCATENATE("R",'Mapa final'!$A$59),"")</f>
        <v/>
      </c>
      <c r="AA42" s="281"/>
      <c r="AB42" s="297" t="str">
        <f ca="1">IF(AND('Mapa final'!$K$47="Muy Baja",'Mapa final'!$O$47="Mayor"),CONCATENATE("R",'Mapa final'!$A$47),"")</f>
        <v/>
      </c>
      <c r="AC42" s="298"/>
      <c r="AD42" s="299" t="str">
        <f ca="1">IF(AND('Mapa final'!$K$53="Muy Baja",'Mapa final'!$O$53="Mayor"),CONCATENATE("R",'Mapa final'!$A$53),"")</f>
        <v/>
      </c>
      <c r="AE42" s="299"/>
      <c r="AF42" s="299" t="str">
        <f ca="1">IF(AND('Mapa final'!$K$59="Muy Baja",'Mapa final'!$O$59="Mayor"),CONCATENATE("R",'Mapa final'!$A$59),"")</f>
        <v/>
      </c>
      <c r="AG42" s="300"/>
      <c r="AH42" s="288" t="str">
        <f ca="1">IF(AND('Mapa final'!$K$47="Muy Baja",'Mapa final'!$O$47="Catastrófico"),CONCATENATE("R",'Mapa final'!$A$47),"")</f>
        <v/>
      </c>
      <c r="AI42" s="289"/>
      <c r="AJ42" s="289" t="str">
        <f ca="1">IF(AND('Mapa final'!$K$53="Muy Baja",'Mapa final'!$O$53="Catastrófico"),CONCATENATE("R",'Mapa final'!$A$53),"")</f>
        <v/>
      </c>
      <c r="AK42" s="289"/>
      <c r="AL42" s="289" t="str">
        <f ca="1">IF(AND('Mapa final'!$K$59="Muy Baja",'Mapa final'!$O$59="Catastrófico"),CONCATENATE("R",'Mapa final'!$A$59),"")</f>
        <v/>
      </c>
      <c r="AM42" s="290"/>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19"/>
      <c r="C43" s="319"/>
      <c r="D43" s="320"/>
      <c r="E43" s="311"/>
      <c r="F43" s="312"/>
      <c r="G43" s="312"/>
      <c r="H43" s="312"/>
      <c r="I43" s="313"/>
      <c r="J43" s="270"/>
      <c r="K43" s="271"/>
      <c r="L43" s="271"/>
      <c r="M43" s="271"/>
      <c r="N43" s="271"/>
      <c r="O43" s="272"/>
      <c r="P43" s="270"/>
      <c r="Q43" s="271"/>
      <c r="R43" s="271"/>
      <c r="S43" s="271"/>
      <c r="T43" s="271"/>
      <c r="U43" s="272"/>
      <c r="V43" s="279"/>
      <c r="W43" s="280"/>
      <c r="X43" s="280"/>
      <c r="Y43" s="280"/>
      <c r="Z43" s="280"/>
      <c r="AA43" s="281"/>
      <c r="AB43" s="297"/>
      <c r="AC43" s="298"/>
      <c r="AD43" s="299"/>
      <c r="AE43" s="299"/>
      <c r="AF43" s="299"/>
      <c r="AG43" s="300"/>
      <c r="AH43" s="288"/>
      <c r="AI43" s="289"/>
      <c r="AJ43" s="289"/>
      <c r="AK43" s="289"/>
      <c r="AL43" s="289"/>
      <c r="AM43" s="290"/>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19"/>
      <c r="C44" s="319"/>
      <c r="D44" s="320"/>
      <c r="E44" s="311"/>
      <c r="F44" s="312"/>
      <c r="G44" s="312"/>
      <c r="H44" s="312"/>
      <c r="I44" s="313"/>
      <c r="J44" s="270" t="str">
        <f ca="1">IF(AND('Mapa final'!$K$65="Muy Baja",'Mapa final'!$O$65="Leve"),CONCATENATE("R",'Mapa final'!$A$65),"")</f>
        <v/>
      </c>
      <c r="K44" s="271"/>
      <c r="L44" s="271" t="str">
        <f>IF(AND('Mapa final'!$K$71="Muy Baja",'Mapa final'!$O$71="Leve"),CONCATENATE("R",'Mapa final'!$A$71),"")</f>
        <v/>
      </c>
      <c r="M44" s="271"/>
      <c r="N44" s="271" t="str">
        <f>IF(AND('Mapa final'!$K$77="Muy Baja",'Mapa final'!$O$77="Leve"),CONCATENATE("R",'Mapa final'!$A$77),"")</f>
        <v/>
      </c>
      <c r="O44" s="272"/>
      <c r="P44" s="270" t="str">
        <f ca="1">IF(AND('Mapa final'!$K$65="Muy Baja",'Mapa final'!$O$65="Menor"),CONCATENATE("R",'Mapa final'!$A$65),"")</f>
        <v/>
      </c>
      <c r="Q44" s="271"/>
      <c r="R44" s="271" t="str">
        <f>IF(AND('Mapa final'!$K$71="Muy Baja",'Mapa final'!$O$71="Menor"),CONCATENATE("R",'Mapa final'!$A$71),"")</f>
        <v/>
      </c>
      <c r="S44" s="271"/>
      <c r="T44" s="271" t="str">
        <f>IF(AND('Mapa final'!$K$77="Muy Baja",'Mapa final'!$O$77="Menor"),CONCATENATE("R",'Mapa final'!$A$77),"")</f>
        <v/>
      </c>
      <c r="U44" s="272"/>
      <c r="V44" s="279" t="str">
        <f ca="1">IF(AND('Mapa final'!$K$65="Muy Baja",'Mapa final'!$O$65="Moderado"),CONCATENATE("R",'Mapa final'!$A$65),"")</f>
        <v/>
      </c>
      <c r="W44" s="280"/>
      <c r="X44" s="280" t="str">
        <f>IF(AND('Mapa final'!$K$71="Muy Baja",'Mapa final'!$O$71="Moderado"),CONCATENATE("R",'Mapa final'!$A$71),"")</f>
        <v/>
      </c>
      <c r="Y44" s="280"/>
      <c r="Z44" s="280" t="str">
        <f>IF(AND('Mapa final'!$K$77="Muy Baja",'Mapa final'!$O$77="Moderado"),CONCATENATE("R",'Mapa final'!$A$77),"")</f>
        <v/>
      </c>
      <c r="AA44" s="281"/>
      <c r="AB44" s="297" t="str">
        <f ca="1">IF(AND('Mapa final'!$K$65="Muy Baja",'Mapa final'!$O$65="Mayor"),CONCATENATE("R",'Mapa final'!$A$65),"")</f>
        <v/>
      </c>
      <c r="AC44" s="298"/>
      <c r="AD44" s="299" t="str">
        <f>IF(AND('Mapa final'!$K$71="Muy Baja",'Mapa final'!$O$71="Mayor"),CONCATENATE("R",'Mapa final'!$A$71),"")</f>
        <v/>
      </c>
      <c r="AE44" s="299"/>
      <c r="AF44" s="299" t="str">
        <f>IF(AND('Mapa final'!$K$77="Muy Baja",'Mapa final'!$O$77="Mayor"),CONCATENATE("R",'Mapa final'!$A$77),"")</f>
        <v/>
      </c>
      <c r="AG44" s="300"/>
      <c r="AH44" s="288" t="str">
        <f ca="1">IF(AND('Mapa final'!$K$65="Muy Baja",'Mapa final'!$O$65="Catastrófico"),CONCATENATE("R",'Mapa final'!$A$65),"")</f>
        <v/>
      </c>
      <c r="AI44" s="289"/>
      <c r="AJ44" s="289" t="str">
        <f>IF(AND('Mapa final'!$K$71="Muy Baja",'Mapa final'!$O$71="Catastrófico"),CONCATENATE("R",'Mapa final'!$A$71),"")</f>
        <v/>
      </c>
      <c r="AK44" s="289"/>
      <c r="AL44" s="289" t="str">
        <f>IF(AND('Mapa final'!$K$77="Muy Baja",'Mapa final'!$O$77="Catastrófico"),CONCATENATE("R",'Mapa final'!$A$77),"")</f>
        <v/>
      </c>
      <c r="AM44" s="290"/>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4.95" thickBot="1" x14ac:dyDescent="0.3">
      <c r="A45" s="83"/>
      <c r="B45" s="319"/>
      <c r="C45" s="319"/>
      <c r="D45" s="320"/>
      <c r="E45" s="314"/>
      <c r="F45" s="315"/>
      <c r="G45" s="315"/>
      <c r="H45" s="315"/>
      <c r="I45" s="316"/>
      <c r="J45" s="273"/>
      <c r="K45" s="274"/>
      <c r="L45" s="274"/>
      <c r="M45" s="274"/>
      <c r="N45" s="274"/>
      <c r="O45" s="275"/>
      <c r="P45" s="273"/>
      <c r="Q45" s="274"/>
      <c r="R45" s="274"/>
      <c r="S45" s="274"/>
      <c r="T45" s="274"/>
      <c r="U45" s="275"/>
      <c r="V45" s="282"/>
      <c r="W45" s="283"/>
      <c r="X45" s="283"/>
      <c r="Y45" s="283"/>
      <c r="Z45" s="283"/>
      <c r="AA45" s="284"/>
      <c r="AB45" s="301"/>
      <c r="AC45" s="302"/>
      <c r="AD45" s="302"/>
      <c r="AE45" s="302"/>
      <c r="AF45" s="302"/>
      <c r="AG45" s="303"/>
      <c r="AH45" s="291"/>
      <c r="AI45" s="292"/>
      <c r="AJ45" s="292"/>
      <c r="AK45" s="292"/>
      <c r="AL45" s="292"/>
      <c r="AM45" s="29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08" t="s">
        <v>104</v>
      </c>
      <c r="K46" s="309"/>
      <c r="L46" s="309"/>
      <c r="M46" s="309"/>
      <c r="N46" s="309"/>
      <c r="O46" s="310"/>
      <c r="P46" s="308" t="s">
        <v>103</v>
      </c>
      <c r="Q46" s="309"/>
      <c r="R46" s="309"/>
      <c r="S46" s="309"/>
      <c r="T46" s="309"/>
      <c r="U46" s="310"/>
      <c r="V46" s="308" t="s">
        <v>102</v>
      </c>
      <c r="W46" s="309"/>
      <c r="X46" s="309"/>
      <c r="Y46" s="309"/>
      <c r="Z46" s="309"/>
      <c r="AA46" s="310"/>
      <c r="AB46" s="308" t="s">
        <v>101</v>
      </c>
      <c r="AC46" s="318"/>
      <c r="AD46" s="309"/>
      <c r="AE46" s="309"/>
      <c r="AF46" s="309"/>
      <c r="AG46" s="310"/>
      <c r="AH46" s="308" t="s">
        <v>100</v>
      </c>
      <c r="AI46" s="309"/>
      <c r="AJ46" s="309"/>
      <c r="AK46" s="309"/>
      <c r="AL46" s="309"/>
      <c r="AM46" s="310"/>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11"/>
      <c r="K47" s="312"/>
      <c r="L47" s="312"/>
      <c r="M47" s="312"/>
      <c r="N47" s="312"/>
      <c r="O47" s="313"/>
      <c r="P47" s="311"/>
      <c r="Q47" s="312"/>
      <c r="R47" s="312"/>
      <c r="S47" s="312"/>
      <c r="T47" s="312"/>
      <c r="U47" s="313"/>
      <c r="V47" s="311"/>
      <c r="W47" s="312"/>
      <c r="X47" s="312"/>
      <c r="Y47" s="312"/>
      <c r="Z47" s="312"/>
      <c r="AA47" s="313"/>
      <c r="AB47" s="311"/>
      <c r="AC47" s="312"/>
      <c r="AD47" s="312"/>
      <c r="AE47" s="312"/>
      <c r="AF47" s="312"/>
      <c r="AG47" s="313"/>
      <c r="AH47" s="311"/>
      <c r="AI47" s="312"/>
      <c r="AJ47" s="312"/>
      <c r="AK47" s="312"/>
      <c r="AL47" s="312"/>
      <c r="AM47" s="31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11"/>
      <c r="K48" s="312"/>
      <c r="L48" s="312"/>
      <c r="M48" s="312"/>
      <c r="N48" s="312"/>
      <c r="O48" s="313"/>
      <c r="P48" s="311"/>
      <c r="Q48" s="312"/>
      <c r="R48" s="312"/>
      <c r="S48" s="312"/>
      <c r="T48" s="312"/>
      <c r="U48" s="313"/>
      <c r="V48" s="311"/>
      <c r="W48" s="312"/>
      <c r="X48" s="312"/>
      <c r="Y48" s="312"/>
      <c r="Z48" s="312"/>
      <c r="AA48" s="313"/>
      <c r="AB48" s="311"/>
      <c r="AC48" s="312"/>
      <c r="AD48" s="312"/>
      <c r="AE48" s="312"/>
      <c r="AF48" s="312"/>
      <c r="AG48" s="313"/>
      <c r="AH48" s="311"/>
      <c r="AI48" s="312"/>
      <c r="AJ48" s="312"/>
      <c r="AK48" s="312"/>
      <c r="AL48" s="312"/>
      <c r="AM48" s="31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11"/>
      <c r="K49" s="312"/>
      <c r="L49" s="312"/>
      <c r="M49" s="312"/>
      <c r="N49" s="312"/>
      <c r="O49" s="313"/>
      <c r="P49" s="311"/>
      <c r="Q49" s="312"/>
      <c r="R49" s="312"/>
      <c r="S49" s="312"/>
      <c r="T49" s="312"/>
      <c r="U49" s="313"/>
      <c r="V49" s="311"/>
      <c r="W49" s="312"/>
      <c r="X49" s="312"/>
      <c r="Y49" s="312"/>
      <c r="Z49" s="312"/>
      <c r="AA49" s="313"/>
      <c r="AB49" s="311"/>
      <c r="AC49" s="312"/>
      <c r="AD49" s="312"/>
      <c r="AE49" s="312"/>
      <c r="AF49" s="312"/>
      <c r="AG49" s="313"/>
      <c r="AH49" s="311"/>
      <c r="AI49" s="312"/>
      <c r="AJ49" s="312"/>
      <c r="AK49" s="312"/>
      <c r="AL49" s="312"/>
      <c r="AM49" s="31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11"/>
      <c r="K50" s="312"/>
      <c r="L50" s="312"/>
      <c r="M50" s="312"/>
      <c r="N50" s="312"/>
      <c r="O50" s="313"/>
      <c r="P50" s="311"/>
      <c r="Q50" s="312"/>
      <c r="R50" s="312"/>
      <c r="S50" s="312"/>
      <c r="T50" s="312"/>
      <c r="U50" s="313"/>
      <c r="V50" s="311"/>
      <c r="W50" s="312"/>
      <c r="X50" s="312"/>
      <c r="Y50" s="312"/>
      <c r="Z50" s="312"/>
      <c r="AA50" s="313"/>
      <c r="AB50" s="311"/>
      <c r="AC50" s="312"/>
      <c r="AD50" s="312"/>
      <c r="AE50" s="312"/>
      <c r="AF50" s="312"/>
      <c r="AG50" s="313"/>
      <c r="AH50" s="311"/>
      <c r="AI50" s="312"/>
      <c r="AJ50" s="312"/>
      <c r="AK50" s="312"/>
      <c r="AL50" s="312"/>
      <c r="AM50" s="31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4.95" thickBot="1" x14ac:dyDescent="0.3">
      <c r="A51" s="83"/>
      <c r="B51" s="83"/>
      <c r="C51" s="83"/>
      <c r="D51" s="83"/>
      <c r="E51" s="83"/>
      <c r="F51" s="83"/>
      <c r="G51" s="83"/>
      <c r="H51" s="83"/>
      <c r="I51" s="83"/>
      <c r="J51" s="314"/>
      <c r="K51" s="315"/>
      <c r="L51" s="315"/>
      <c r="M51" s="315"/>
      <c r="N51" s="315"/>
      <c r="O51" s="316"/>
      <c r="P51" s="314"/>
      <c r="Q51" s="315"/>
      <c r="R51" s="315"/>
      <c r="S51" s="315"/>
      <c r="T51" s="315"/>
      <c r="U51" s="316"/>
      <c r="V51" s="314"/>
      <c r="W51" s="315"/>
      <c r="X51" s="315"/>
      <c r="Y51" s="315"/>
      <c r="Z51" s="315"/>
      <c r="AA51" s="316"/>
      <c r="AB51" s="314"/>
      <c r="AC51" s="315"/>
      <c r="AD51" s="315"/>
      <c r="AE51" s="315"/>
      <c r="AF51" s="315"/>
      <c r="AG51" s="316"/>
      <c r="AH51" s="314"/>
      <c r="AI51" s="315"/>
      <c r="AJ51" s="315"/>
      <c r="AK51" s="315"/>
      <c r="AL51" s="315"/>
      <c r="AM51" s="316"/>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4.9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4.9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zoomScale="50" zoomScaleNormal="50" workbookViewId="0">
      <selection activeCell="B2" sqref="B2:I4"/>
    </sheetView>
  </sheetViews>
  <sheetFormatPr baseColWidth="10" defaultRowHeight="14.3" x14ac:dyDescent="0.25"/>
  <cols>
    <col min="2" max="18" width="5.625" customWidth="1"/>
    <col min="19" max="19" width="8.5" customWidth="1"/>
    <col min="20" max="23" width="5.625" customWidth="1"/>
    <col min="24" max="24" width="8.5" customWidth="1"/>
    <col min="25" max="26" width="5.625" customWidth="1"/>
    <col min="27" max="27" width="10.625" customWidth="1"/>
    <col min="28" max="28" width="5.625" customWidth="1"/>
    <col min="29" max="29" width="7.5" customWidth="1"/>
    <col min="30" max="33" width="5.625" customWidth="1"/>
    <col min="34" max="34" width="8.5" customWidth="1"/>
    <col min="35" max="39" width="5.625" customWidth="1"/>
    <col min="41" max="46" width="5.62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387" t="s">
        <v>142</v>
      </c>
      <c r="C2" s="388"/>
      <c r="D2" s="388"/>
      <c r="E2" s="388"/>
      <c r="F2" s="388"/>
      <c r="G2" s="388"/>
      <c r="H2" s="388"/>
      <c r="I2" s="388"/>
      <c r="J2" s="307" t="s">
        <v>2</v>
      </c>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 customHeight="1" x14ac:dyDescent="0.25">
      <c r="A3" s="83"/>
      <c r="B3" s="388"/>
      <c r="C3" s="388"/>
      <c r="D3" s="388"/>
      <c r="E3" s="388"/>
      <c r="F3" s="388"/>
      <c r="G3" s="388"/>
      <c r="H3" s="388"/>
      <c r="I3" s="388"/>
      <c r="J3" s="307"/>
      <c r="K3" s="307"/>
      <c r="L3" s="307"/>
      <c r="M3" s="307"/>
      <c r="N3" s="307"/>
      <c r="O3" s="307"/>
      <c r="P3" s="307"/>
      <c r="Q3" s="307"/>
      <c r="R3" s="307"/>
      <c r="S3" s="307"/>
      <c r="T3" s="307"/>
      <c r="U3" s="307"/>
      <c r="V3" s="307"/>
      <c r="W3" s="307"/>
      <c r="X3" s="307"/>
      <c r="Y3" s="307"/>
      <c r="Z3" s="307"/>
      <c r="AA3" s="307"/>
      <c r="AB3" s="307"/>
      <c r="AC3" s="307"/>
      <c r="AD3" s="307"/>
      <c r="AE3" s="307"/>
      <c r="AF3" s="307"/>
      <c r="AG3" s="307"/>
      <c r="AH3" s="307"/>
      <c r="AI3" s="307"/>
      <c r="AJ3" s="307"/>
      <c r="AK3" s="307"/>
      <c r="AL3" s="307"/>
      <c r="AM3" s="307"/>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4.95" customHeight="1" x14ac:dyDescent="0.25">
      <c r="A4" s="83"/>
      <c r="B4" s="388"/>
      <c r="C4" s="388"/>
      <c r="D4" s="388"/>
      <c r="E4" s="388"/>
      <c r="F4" s="388"/>
      <c r="G4" s="388"/>
      <c r="H4" s="388"/>
      <c r="I4" s="388"/>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4.9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4.95" customHeight="1" x14ac:dyDescent="0.3">
      <c r="A6" s="83"/>
      <c r="B6" s="319" t="s">
        <v>3</v>
      </c>
      <c r="C6" s="319"/>
      <c r="D6" s="320"/>
      <c r="E6" s="357" t="s">
        <v>108</v>
      </c>
      <c r="F6" s="358"/>
      <c r="G6" s="358"/>
      <c r="H6" s="358"/>
      <c r="I6" s="359"/>
      <c r="J6" s="45" t="str">
        <f ca="1">IF(AND('Mapa final'!$AB$11="Muy Alta",'Mapa final'!$AD$11="Leve"),CONCATENATE("R1C",'Mapa final'!$R$11),"")</f>
        <v/>
      </c>
      <c r="K6" s="46" t="str">
        <f ca="1">IF(AND('Mapa final'!$AB$12="Muy Alta",'Mapa final'!$AD$12="Leve"),CONCATENATE("R1C",'Mapa final'!$R$12),"")</f>
        <v/>
      </c>
      <c r="L6" s="46" t="str">
        <f>IF(AND('Mapa final'!$AB$13="Muy Alta",'Mapa final'!$AD$13="Leve"),CONCATENATE("R1C",'Mapa final'!$R$13),"")</f>
        <v/>
      </c>
      <c r="M6" s="46" t="str">
        <f>IF(AND('Mapa final'!$AB$14="Muy Alta",'Mapa final'!$AD$14="Leve"),CONCATENATE("R1C",'Mapa final'!$R$14),"")</f>
        <v/>
      </c>
      <c r="N6" s="46" t="str">
        <f>IF(AND('Mapa final'!$AB$15="Muy Alta",'Mapa final'!$AD$15="Leve"),CONCATENATE("R1C",'Mapa final'!$R$15),"")</f>
        <v/>
      </c>
      <c r="O6" s="47" t="str">
        <f>IF(AND('Mapa final'!$AB$16="Muy Alta",'Mapa final'!$AD$16="Leve"),CONCATENATE("R1C",'Mapa final'!$R$16),"")</f>
        <v/>
      </c>
      <c r="P6" s="45" t="str">
        <f ca="1">IF(AND('Mapa final'!$AB$11="Muy Alta",'Mapa final'!$AD$11="Menor"),CONCATENATE("R1C",'Mapa final'!$R$11),"")</f>
        <v/>
      </c>
      <c r="Q6" s="46" t="str">
        <f ca="1">IF(AND('Mapa final'!$AB$12="Muy Alta",'Mapa final'!$AD$12="Menor"),CONCATENATE("R1C",'Mapa final'!$R$12),"")</f>
        <v/>
      </c>
      <c r="R6" s="46" t="str">
        <f>IF(AND('Mapa final'!$AB$13="Muy Alta",'Mapa final'!$AD$13="Menor"),CONCATENATE("R1C",'Mapa final'!$R$13),"")</f>
        <v/>
      </c>
      <c r="S6" s="46" t="str">
        <f>IF(AND('Mapa final'!$AB$14="Muy Alta",'Mapa final'!$AD$14="Menor"),CONCATENATE("R1C",'Mapa final'!$R$14),"")</f>
        <v/>
      </c>
      <c r="T6" s="46" t="str">
        <f>IF(AND('Mapa final'!$AB$15="Muy Alta",'Mapa final'!$AD$15="Menor"),CONCATENATE("R1C",'Mapa final'!$R$15),"")</f>
        <v/>
      </c>
      <c r="U6" s="47" t="str">
        <f>IF(AND('Mapa final'!$AB$16="Muy Alta",'Mapa final'!$AD$16="Menor"),CONCATENATE("R1C",'Mapa final'!$R$16),"")</f>
        <v/>
      </c>
      <c r="V6" s="45" t="str">
        <f ca="1">IF(AND('Mapa final'!$AB$11="Muy Alta",'Mapa final'!$AD$11="Moderado"),CONCATENATE("R1C",'Mapa final'!$R$11),"")</f>
        <v/>
      </c>
      <c r="W6" s="46" t="str">
        <f ca="1">IF(AND('Mapa final'!$AB$12="Muy Alta",'Mapa final'!$AD$12="Moderado"),CONCATENATE("R1C",'Mapa final'!$R$12),"")</f>
        <v/>
      </c>
      <c r="X6" s="46" t="str">
        <f>IF(AND('Mapa final'!$AB$13="Muy Alta",'Mapa final'!$AD$13="Moderado"),CONCATENATE("R1C",'Mapa final'!$R$13),"")</f>
        <v/>
      </c>
      <c r="Y6" s="46" t="str">
        <f>IF(AND('Mapa final'!$AB$14="Muy Alta",'Mapa final'!$AD$14="Moderado"),CONCATENATE("R1C",'Mapa final'!$R$14),"")</f>
        <v/>
      </c>
      <c r="Z6" s="46" t="str">
        <f>IF(AND('Mapa final'!$AB$15="Muy Alta",'Mapa final'!$AD$15="Moderado"),CONCATENATE("R1C",'Mapa final'!$R$15),"")</f>
        <v/>
      </c>
      <c r="AA6" s="47" t="str">
        <f>IF(AND('Mapa final'!$AB$16="Muy Alta",'Mapa final'!$AD$16="Moderado"),CONCATENATE("R1C",'Mapa final'!$R$16),"")</f>
        <v/>
      </c>
      <c r="AB6" s="45" t="str">
        <f ca="1">IF(AND('Mapa final'!$AB$11="Muy Alta",'Mapa final'!$AD$11="Mayor"),CONCATENATE("R1C",'Mapa final'!$R$11),"")</f>
        <v/>
      </c>
      <c r="AC6" s="46" t="str">
        <f ca="1">IF(AND('Mapa final'!$AB$12="Muy Alta",'Mapa final'!$AD$12="Mayor"),CONCATENATE("R1C",'Mapa final'!$R$12),"")</f>
        <v/>
      </c>
      <c r="AD6" s="46" t="str">
        <f>IF(AND('Mapa final'!$AB$13="Muy Alta",'Mapa final'!$AD$13="Mayor"),CONCATENATE("R1C",'Mapa final'!$R$13),"")</f>
        <v/>
      </c>
      <c r="AE6" s="46" t="str">
        <f>IF(AND('Mapa final'!$AB$14="Muy Alta",'Mapa final'!$AD$14="Mayor"),CONCATENATE("R1C",'Mapa final'!$R$14),"")</f>
        <v/>
      </c>
      <c r="AF6" s="46" t="str">
        <f>IF(AND('Mapa final'!$AB$15="Muy Alta",'Mapa final'!$AD$15="Mayor"),CONCATENATE("R1C",'Mapa final'!$R$15),"")</f>
        <v/>
      </c>
      <c r="AG6" s="47" t="str">
        <f>IF(AND('Mapa final'!$AB$16="Muy Alta",'Mapa final'!$AD$16="Mayor"),CONCATENATE("R1C",'Mapa final'!$R$16),"")</f>
        <v/>
      </c>
      <c r="AH6" s="48" t="str">
        <f ca="1">IF(AND('Mapa final'!$AB$11="Muy Alta",'Mapa final'!$AD$11="Catastrófico"),CONCATENATE("R1C",'Mapa final'!$R$11),"")</f>
        <v/>
      </c>
      <c r="AI6" s="49" t="str">
        <f ca="1">IF(AND('Mapa final'!$AB$12="Muy Alta",'Mapa final'!$AD$12="Catastrófico"),CONCATENATE("R1C",'Mapa final'!$R$12),"")</f>
        <v/>
      </c>
      <c r="AJ6" s="49" t="str">
        <f>IF(AND('Mapa final'!$AB$13="Muy Alta",'Mapa final'!$AD$13="Catastrófico"),CONCATENATE("R1C",'Mapa final'!$R$13),"")</f>
        <v/>
      </c>
      <c r="AK6" s="49" t="str">
        <f>IF(AND('Mapa final'!$AB$14="Muy Alta",'Mapa final'!$AD$14="Catastrófico"),CONCATENATE("R1C",'Mapa final'!$R$14),"")</f>
        <v/>
      </c>
      <c r="AL6" s="49" t="str">
        <f>IF(AND('Mapa final'!$AB$15="Muy Alta",'Mapa final'!$AD$15="Catastrófico"),CONCATENATE("R1C",'Mapa final'!$R$15),"")</f>
        <v/>
      </c>
      <c r="AM6" s="50" t="str">
        <f>IF(AND('Mapa final'!$AB$16="Muy Alta",'Mapa final'!$AD$16="Catastrófico"),CONCATENATE("R1C",'Mapa final'!$R$16),"")</f>
        <v/>
      </c>
      <c r="AN6" s="83"/>
      <c r="AO6" s="378" t="s">
        <v>76</v>
      </c>
      <c r="AP6" s="379"/>
      <c r="AQ6" s="379"/>
      <c r="AR6" s="379"/>
      <c r="AS6" s="379"/>
      <c r="AT6" s="38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4.95" customHeight="1" x14ac:dyDescent="0.3">
      <c r="A7" s="83"/>
      <c r="B7" s="319"/>
      <c r="C7" s="319"/>
      <c r="D7" s="320"/>
      <c r="E7" s="360"/>
      <c r="F7" s="361"/>
      <c r="G7" s="361"/>
      <c r="H7" s="361"/>
      <c r="I7" s="362"/>
      <c r="J7" s="51" t="str">
        <f ca="1">IF(AND('Mapa final'!$AB$17="Muy Alta",'Mapa final'!$AD$17="Leve"),CONCATENATE("R2C",'Mapa final'!$R$17),"")</f>
        <v/>
      </c>
      <c r="K7" s="52" t="str">
        <f>IF(AND('Mapa final'!$AB$18="Muy Alta",'Mapa final'!$AD$18="Leve"),CONCATENATE("R2C",'Mapa final'!$R$18),"")</f>
        <v/>
      </c>
      <c r="L7" s="52" t="str">
        <f>IF(AND('Mapa final'!$AB$19="Muy Alta",'Mapa final'!$AD$19="Leve"),CONCATENATE("R2C",'Mapa final'!$R$19),"")</f>
        <v/>
      </c>
      <c r="M7" s="52" t="str">
        <f>IF(AND('Mapa final'!$AB$20="Muy Alta",'Mapa final'!$AD$20="Leve"),CONCATENATE("R2C",'Mapa final'!$R$20),"")</f>
        <v/>
      </c>
      <c r="N7" s="52" t="str">
        <f>IF(AND('Mapa final'!$AB$21="Muy Alta",'Mapa final'!$AD$21="Leve"),CONCATENATE("R2C",'Mapa final'!$R$21),"")</f>
        <v/>
      </c>
      <c r="O7" s="53" t="str">
        <f>IF(AND('Mapa final'!$AB$22="Muy Alta",'Mapa final'!$AD$22="Leve"),CONCATENATE("R2C",'Mapa final'!$R$22),"")</f>
        <v/>
      </c>
      <c r="P7" s="51" t="str">
        <f ca="1">IF(AND('Mapa final'!$AB$17="Muy Alta",'Mapa final'!$AD$17="Menor"),CONCATENATE("R2C",'Mapa final'!$R$17),"")</f>
        <v/>
      </c>
      <c r="Q7" s="52" t="str">
        <f>IF(AND('Mapa final'!$AB$18="Muy Alta",'Mapa final'!$AD$18="Menor"),CONCATENATE("R2C",'Mapa final'!$R$18),"")</f>
        <v/>
      </c>
      <c r="R7" s="52" t="str">
        <f>IF(AND('Mapa final'!$AB$19="Muy Alta",'Mapa final'!$AD$19="Menor"),CONCATENATE("R2C",'Mapa final'!$R$19),"")</f>
        <v/>
      </c>
      <c r="S7" s="52" t="str">
        <f>IF(AND('Mapa final'!$AB$20="Muy Alta",'Mapa final'!$AD$20="Menor"),CONCATENATE("R2C",'Mapa final'!$R$20),"")</f>
        <v/>
      </c>
      <c r="T7" s="52" t="str">
        <f>IF(AND('Mapa final'!$AB$21="Muy Alta",'Mapa final'!$AD$21="Menor"),CONCATENATE("R2C",'Mapa final'!$R$21),"")</f>
        <v/>
      </c>
      <c r="U7" s="53" t="str">
        <f>IF(AND('Mapa final'!$AB$22="Muy Alta",'Mapa final'!$AD$22="Menor"),CONCATENATE("R2C",'Mapa final'!$R$22),"")</f>
        <v/>
      </c>
      <c r="V7" s="51" t="str">
        <f ca="1">IF(AND('Mapa final'!$AB$17="Muy Alta",'Mapa final'!$AD$17="Moderado"),CONCATENATE("R2C",'Mapa final'!$R$17),"")</f>
        <v/>
      </c>
      <c r="W7" s="52" t="str">
        <f>IF(AND('Mapa final'!$AB$18="Muy Alta",'Mapa final'!$AD$18="Moderado"),CONCATENATE("R2C",'Mapa final'!$R$18),"")</f>
        <v/>
      </c>
      <c r="X7" s="52" t="str">
        <f>IF(AND('Mapa final'!$AB$19="Muy Alta",'Mapa final'!$AD$19="Moderado"),CONCATENATE("R2C",'Mapa final'!$R$19),"")</f>
        <v/>
      </c>
      <c r="Y7" s="52" t="str">
        <f>IF(AND('Mapa final'!$AB$20="Muy Alta",'Mapa final'!$AD$20="Moderado"),CONCATENATE("R2C",'Mapa final'!$R$20),"")</f>
        <v/>
      </c>
      <c r="Z7" s="52" t="str">
        <f>IF(AND('Mapa final'!$AB$21="Muy Alta",'Mapa final'!$AD$21="Moderado"),CONCATENATE("R2C",'Mapa final'!$R$21),"")</f>
        <v/>
      </c>
      <c r="AA7" s="53" t="str">
        <f>IF(AND('Mapa final'!$AB$22="Muy Alta",'Mapa final'!$AD$22="Moderado"),CONCATENATE("R2C",'Mapa final'!$R$22),"")</f>
        <v/>
      </c>
      <c r="AB7" s="51" t="str">
        <f ca="1">IF(AND('Mapa final'!$AB$17="Muy Alta",'Mapa final'!$AD$17="Mayor"),CONCATENATE("R2C",'Mapa final'!$R$17),"")</f>
        <v/>
      </c>
      <c r="AC7" s="52" t="str">
        <f>IF(AND('Mapa final'!$AB$18="Muy Alta",'Mapa final'!$AD$18="Mayor"),CONCATENATE("R2C",'Mapa final'!$R$18),"")</f>
        <v/>
      </c>
      <c r="AD7" s="52" t="str">
        <f>IF(AND('Mapa final'!$AB$19="Muy Alta",'Mapa final'!$AD$19="Mayor"),CONCATENATE("R2C",'Mapa final'!$R$19),"")</f>
        <v/>
      </c>
      <c r="AE7" s="52" t="str">
        <f>IF(AND('Mapa final'!$AB$20="Muy Alta",'Mapa final'!$AD$20="Mayor"),CONCATENATE("R2C",'Mapa final'!$R$20),"")</f>
        <v/>
      </c>
      <c r="AF7" s="52" t="str">
        <f>IF(AND('Mapa final'!$AB$21="Muy Alta",'Mapa final'!$AD$21="Mayor"),CONCATENATE("R2C",'Mapa final'!$R$21),"")</f>
        <v/>
      </c>
      <c r="AG7" s="53" t="str">
        <f>IF(AND('Mapa final'!$AB$22="Muy Alta",'Mapa final'!$AD$22="Mayor"),CONCATENATE("R2C",'Mapa final'!$R$22),"")</f>
        <v/>
      </c>
      <c r="AH7" s="54" t="str">
        <f ca="1">IF(AND('Mapa final'!$AB$17="Muy Alta",'Mapa final'!$AD$17="Catastrófico"),CONCATENATE("R2C",'Mapa final'!$R$17),"")</f>
        <v/>
      </c>
      <c r="AI7" s="55" t="str">
        <f>IF(AND('Mapa final'!$AB$18="Muy Alta",'Mapa final'!$AD$18="Catastrófico"),CONCATENATE("R2C",'Mapa final'!$R$18),"")</f>
        <v/>
      </c>
      <c r="AJ7" s="55" t="str">
        <f>IF(AND('Mapa final'!$AB$19="Muy Alta",'Mapa final'!$AD$19="Catastrófico"),CONCATENATE("R2C",'Mapa final'!$R$19),"")</f>
        <v/>
      </c>
      <c r="AK7" s="55" t="str">
        <f>IF(AND('Mapa final'!$AB$20="Muy Alta",'Mapa final'!$AD$20="Catastrófico"),CONCATENATE("R2C",'Mapa final'!$R$20),"")</f>
        <v/>
      </c>
      <c r="AL7" s="55" t="str">
        <f>IF(AND('Mapa final'!$AB$21="Muy Alta",'Mapa final'!$AD$21="Catastrófico"),CONCATENATE("R2C",'Mapa final'!$R$21),"")</f>
        <v/>
      </c>
      <c r="AM7" s="56" t="str">
        <f>IF(AND('Mapa final'!$AB$22="Muy Alta",'Mapa final'!$AD$22="Catastrófico"),CONCATENATE("R2C",'Mapa final'!$R$22),"")</f>
        <v/>
      </c>
      <c r="AN7" s="83"/>
      <c r="AO7" s="381"/>
      <c r="AP7" s="382"/>
      <c r="AQ7" s="382"/>
      <c r="AR7" s="382"/>
      <c r="AS7" s="382"/>
      <c r="AT7" s="3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4.95" customHeight="1" x14ac:dyDescent="0.3">
      <c r="A8" s="83"/>
      <c r="B8" s="319"/>
      <c r="C8" s="319"/>
      <c r="D8" s="320"/>
      <c r="E8" s="360"/>
      <c r="F8" s="361"/>
      <c r="G8" s="361"/>
      <c r="H8" s="361"/>
      <c r="I8" s="362"/>
      <c r="J8" s="51" t="str">
        <f ca="1">IF(AND('Mapa final'!$AB$23="Muy Alta",'Mapa final'!$AD$23="Leve"),CONCATENATE("R3C",'Mapa final'!$R$23),"")</f>
        <v/>
      </c>
      <c r="K8" s="52" t="str">
        <f ca="1">IF(AND('Mapa final'!$AB$24="Muy Alta",'Mapa final'!$AD$24="Leve"),CONCATENATE("R3C",'Mapa final'!$R$24),"")</f>
        <v/>
      </c>
      <c r="L8" s="52" t="str">
        <f>IF(AND('Mapa final'!$AB$25="Muy Alta",'Mapa final'!$AD$25="Leve"),CONCATENATE("R3C",'Mapa final'!$R$25),"")</f>
        <v/>
      </c>
      <c r="M8" s="52" t="str">
        <f>IF(AND('Mapa final'!$AB$26="Muy Alta",'Mapa final'!$AD$26="Leve"),CONCATENATE("R3C",'Mapa final'!$R$26),"")</f>
        <v/>
      </c>
      <c r="N8" s="52" t="str">
        <f>IF(AND('Mapa final'!$AB$27="Muy Alta",'Mapa final'!$AD$27="Leve"),CONCATENATE("R3C",'Mapa final'!$R$27),"")</f>
        <v/>
      </c>
      <c r="O8" s="53" t="str">
        <f>IF(AND('Mapa final'!$AB$28="Muy Alta",'Mapa final'!$AD$28="Leve"),CONCATENATE("R3C",'Mapa final'!$R$28),"")</f>
        <v/>
      </c>
      <c r="P8" s="51" t="str">
        <f ca="1">IF(AND('Mapa final'!$AB$23="Muy Alta",'Mapa final'!$AD$23="Menor"),CONCATENATE("R3C",'Mapa final'!$R$23),"")</f>
        <v/>
      </c>
      <c r="Q8" s="52" t="str">
        <f ca="1">IF(AND('Mapa final'!$AB$24="Muy Alta",'Mapa final'!$AD$24="Menor"),CONCATENATE("R3C",'Mapa final'!$R$24),"")</f>
        <v/>
      </c>
      <c r="R8" s="52" t="str">
        <f>IF(AND('Mapa final'!$AB$25="Muy Alta",'Mapa final'!$AD$25="Menor"),CONCATENATE("R3C",'Mapa final'!$R$25),"")</f>
        <v/>
      </c>
      <c r="S8" s="52" t="str">
        <f>IF(AND('Mapa final'!$AB$26="Muy Alta",'Mapa final'!$AD$26="Menor"),CONCATENATE("R3C",'Mapa final'!$R$26),"")</f>
        <v/>
      </c>
      <c r="T8" s="52" t="str">
        <f>IF(AND('Mapa final'!$AB$27="Muy Alta",'Mapa final'!$AD$27="Menor"),CONCATENATE("R3C",'Mapa final'!$R$27),"")</f>
        <v/>
      </c>
      <c r="U8" s="53" t="str">
        <f>IF(AND('Mapa final'!$AB$28="Muy Alta",'Mapa final'!$AD$28="Menor"),CONCATENATE("R3C",'Mapa final'!$R$28),"")</f>
        <v/>
      </c>
      <c r="V8" s="51" t="str">
        <f ca="1">IF(AND('Mapa final'!$AB$23="Muy Alta",'Mapa final'!$AD$23="Moderado"),CONCATENATE("R3C",'Mapa final'!$R$23),"")</f>
        <v/>
      </c>
      <c r="W8" s="52" t="str">
        <f ca="1">IF(AND('Mapa final'!$AB$24="Muy Alta",'Mapa final'!$AD$24="Moderado"),CONCATENATE("R3C",'Mapa final'!$R$24),"")</f>
        <v/>
      </c>
      <c r="X8" s="52" t="str">
        <f>IF(AND('Mapa final'!$AB$25="Muy Alta",'Mapa final'!$AD$25="Moderado"),CONCATENATE("R3C",'Mapa final'!$R$25),"")</f>
        <v/>
      </c>
      <c r="Y8" s="52" t="str">
        <f>IF(AND('Mapa final'!$AB$26="Muy Alta",'Mapa final'!$AD$26="Moderado"),CONCATENATE("R3C",'Mapa final'!$R$26),"")</f>
        <v/>
      </c>
      <c r="Z8" s="52" t="str">
        <f>IF(AND('Mapa final'!$AB$27="Muy Alta",'Mapa final'!$AD$27="Moderado"),CONCATENATE("R3C",'Mapa final'!$R$27),"")</f>
        <v/>
      </c>
      <c r="AA8" s="53" t="str">
        <f>IF(AND('Mapa final'!$AB$28="Muy Alta",'Mapa final'!$AD$28="Moderado"),CONCATENATE("R3C",'Mapa final'!$R$28),"")</f>
        <v/>
      </c>
      <c r="AB8" s="51" t="str">
        <f ca="1">IF(AND('Mapa final'!$AB$23="Muy Alta",'Mapa final'!$AD$23="Mayor"),CONCATENATE("R3C",'Mapa final'!$R$23),"")</f>
        <v/>
      </c>
      <c r="AC8" s="52" t="str">
        <f ca="1">IF(AND('Mapa final'!$AB$24="Muy Alta",'Mapa final'!$AD$24="Mayor"),CONCATENATE("R3C",'Mapa final'!$R$24),"")</f>
        <v/>
      </c>
      <c r="AD8" s="52" t="str">
        <f>IF(AND('Mapa final'!$AB$25="Muy Alta",'Mapa final'!$AD$25="Mayor"),CONCATENATE("R3C",'Mapa final'!$R$25),"")</f>
        <v/>
      </c>
      <c r="AE8" s="52" t="str">
        <f>IF(AND('Mapa final'!$AB$26="Muy Alta",'Mapa final'!$AD$26="Mayor"),CONCATENATE("R3C",'Mapa final'!$R$26),"")</f>
        <v/>
      </c>
      <c r="AF8" s="52" t="str">
        <f>IF(AND('Mapa final'!$AB$27="Muy Alta",'Mapa final'!$AD$27="Mayor"),CONCATENATE("R3C",'Mapa final'!$R$27),"")</f>
        <v/>
      </c>
      <c r="AG8" s="53" t="str">
        <f>IF(AND('Mapa final'!$AB$28="Muy Alta",'Mapa final'!$AD$28="Mayor"),CONCATENATE("R3C",'Mapa final'!$R$28),"")</f>
        <v/>
      </c>
      <c r="AH8" s="54" t="str">
        <f ca="1">IF(AND('Mapa final'!$AB$23="Muy Alta",'Mapa final'!$AD$23="Catastrófico"),CONCATENATE("R3C",'Mapa final'!$R$23),"")</f>
        <v/>
      </c>
      <c r="AI8" s="55" t="str">
        <f ca="1">IF(AND('Mapa final'!$AB$24="Muy Alta",'Mapa final'!$AD$24="Catastrófico"),CONCATENATE("R3C",'Mapa final'!$R$24),"")</f>
        <v/>
      </c>
      <c r="AJ8" s="55" t="str">
        <f>IF(AND('Mapa final'!$AB$25="Muy Alta",'Mapa final'!$AD$25="Catastrófico"),CONCATENATE("R3C",'Mapa final'!$R$25),"")</f>
        <v/>
      </c>
      <c r="AK8" s="55" t="str">
        <f>IF(AND('Mapa final'!$AB$26="Muy Alta",'Mapa final'!$AD$26="Catastrófico"),CONCATENATE("R3C",'Mapa final'!$R$26),"")</f>
        <v/>
      </c>
      <c r="AL8" s="55" t="str">
        <f>IF(AND('Mapa final'!$AB$27="Muy Alta",'Mapa final'!$AD$27="Catastrófico"),CONCATENATE("R3C",'Mapa final'!$R$27),"")</f>
        <v/>
      </c>
      <c r="AM8" s="56" t="str">
        <f>IF(AND('Mapa final'!$AB$28="Muy Alta",'Mapa final'!$AD$28="Catastrófico"),CONCATENATE("R3C",'Mapa final'!$R$28),"")</f>
        <v/>
      </c>
      <c r="AN8" s="83"/>
      <c r="AO8" s="381"/>
      <c r="AP8" s="382"/>
      <c r="AQ8" s="382"/>
      <c r="AR8" s="382"/>
      <c r="AS8" s="382"/>
      <c r="AT8" s="3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4.95" customHeight="1" x14ac:dyDescent="0.3">
      <c r="A9" s="83"/>
      <c r="B9" s="319"/>
      <c r="C9" s="319"/>
      <c r="D9" s="320"/>
      <c r="E9" s="360"/>
      <c r="F9" s="361"/>
      <c r="G9" s="361"/>
      <c r="H9" s="361"/>
      <c r="I9" s="362"/>
      <c r="J9" s="51" t="str">
        <f ca="1">IF(AND('Mapa final'!$AB$29="Muy Alta",'Mapa final'!$AD$29="Leve"),CONCATENATE("R4C",'Mapa final'!$R$29),"")</f>
        <v/>
      </c>
      <c r="K9" s="52" t="str">
        <f>IF(AND('Mapa final'!$AB$30="Muy Alta",'Mapa final'!$AD$30="Leve"),CONCATENATE("R4C",'Mapa final'!$R$30),"")</f>
        <v/>
      </c>
      <c r="L9" s="57" t="str">
        <f>IF(AND('Mapa final'!$AB$31="Muy Alta",'Mapa final'!$AD$31="Leve"),CONCATENATE("R4C",'Mapa final'!$R$31),"")</f>
        <v/>
      </c>
      <c r="M9" s="57" t="str">
        <f>IF(AND('Mapa final'!$AB$32="Muy Alta",'Mapa final'!$AD$32="Leve"),CONCATENATE("R4C",'Mapa final'!$R$32),"")</f>
        <v/>
      </c>
      <c r="N9" s="57" t="str">
        <f>IF(AND('Mapa final'!$AB$33="Muy Alta",'Mapa final'!$AD$33="Leve"),CONCATENATE("R4C",'Mapa final'!$R$33),"")</f>
        <v/>
      </c>
      <c r="O9" s="53" t="str">
        <f>IF(AND('Mapa final'!$AB$34="Muy Alta",'Mapa final'!$AD$34="Leve"),CONCATENATE("R4C",'Mapa final'!$R$34),"")</f>
        <v/>
      </c>
      <c r="P9" s="51" t="str">
        <f ca="1">IF(AND('Mapa final'!$AB$29="Muy Alta",'Mapa final'!$AD$29="Menor"),CONCATENATE("R4C",'Mapa final'!$R$29),"")</f>
        <v/>
      </c>
      <c r="Q9" s="52" t="str">
        <f>IF(AND('Mapa final'!$AB$30="Muy Alta",'Mapa final'!$AD$30="Menor"),CONCATENATE("R4C",'Mapa final'!$R$30),"")</f>
        <v/>
      </c>
      <c r="R9" s="57" t="str">
        <f>IF(AND('Mapa final'!$AB$31="Muy Alta",'Mapa final'!$AD$31="Menor"),CONCATENATE("R4C",'Mapa final'!$R$31),"")</f>
        <v/>
      </c>
      <c r="S9" s="57" t="str">
        <f>IF(AND('Mapa final'!$AB$32="Muy Alta",'Mapa final'!$AD$32="Menor"),CONCATENATE("R4C",'Mapa final'!$R$32),"")</f>
        <v/>
      </c>
      <c r="T9" s="57" t="str">
        <f>IF(AND('Mapa final'!$AB$33="Muy Alta",'Mapa final'!$AD$33="Menor"),CONCATENATE("R4C",'Mapa final'!$R$33),"")</f>
        <v/>
      </c>
      <c r="U9" s="53" t="str">
        <f>IF(AND('Mapa final'!$AB$34="Muy Alta",'Mapa final'!$AD$34="Menor"),CONCATENATE("R4C",'Mapa final'!$R$34),"")</f>
        <v/>
      </c>
      <c r="V9" s="51" t="str">
        <f ca="1">IF(AND('Mapa final'!$AB$29="Muy Alta",'Mapa final'!$AD$29="Moderado"),CONCATENATE("R4C",'Mapa final'!$R$29),"")</f>
        <v/>
      </c>
      <c r="W9" s="52" t="str">
        <f>IF(AND('Mapa final'!$AB$30="Muy Alta",'Mapa final'!$AD$30="Moderado"),CONCATENATE("R4C",'Mapa final'!$R$30),"")</f>
        <v/>
      </c>
      <c r="X9" s="57" t="str">
        <f>IF(AND('Mapa final'!$AB$31="Muy Alta",'Mapa final'!$AD$31="Moderado"),CONCATENATE("R4C",'Mapa final'!$R$31),"")</f>
        <v/>
      </c>
      <c r="Y9" s="57" t="str">
        <f>IF(AND('Mapa final'!$AB$32="Muy Alta",'Mapa final'!$AD$32="Moderado"),CONCATENATE("R4C",'Mapa final'!$R$32),"")</f>
        <v/>
      </c>
      <c r="Z9" s="57" t="str">
        <f>IF(AND('Mapa final'!$AB$33="Muy Alta",'Mapa final'!$AD$33="Moderado"),CONCATENATE("R4C",'Mapa final'!$R$33),"")</f>
        <v/>
      </c>
      <c r="AA9" s="53" t="str">
        <f>IF(AND('Mapa final'!$AB$34="Muy Alta",'Mapa final'!$AD$34="Moderado"),CONCATENATE("R4C",'Mapa final'!$R$34),"")</f>
        <v/>
      </c>
      <c r="AB9" s="51" t="str">
        <f ca="1">IF(AND('Mapa final'!$AB$29="Muy Alta",'Mapa final'!$AD$29="Mayor"),CONCATENATE("R4C",'Mapa final'!$R$29),"")</f>
        <v/>
      </c>
      <c r="AC9" s="52" t="str">
        <f>IF(AND('Mapa final'!$AB$30="Muy Alta",'Mapa final'!$AD$30="Mayor"),CONCATENATE("R4C",'Mapa final'!$R$30),"")</f>
        <v/>
      </c>
      <c r="AD9" s="57" t="str">
        <f>IF(AND('Mapa final'!$AB$31="Muy Alta",'Mapa final'!$AD$31="Mayor"),CONCATENATE("R4C",'Mapa final'!$R$31),"")</f>
        <v/>
      </c>
      <c r="AE9" s="57" t="str">
        <f>IF(AND('Mapa final'!$AB$32="Muy Alta",'Mapa final'!$AD$32="Mayor"),CONCATENATE("R4C",'Mapa final'!$R$32),"")</f>
        <v/>
      </c>
      <c r="AF9" s="57" t="str">
        <f>IF(AND('Mapa final'!$AB$33="Muy Alta",'Mapa final'!$AD$33="Mayor"),CONCATENATE("R4C",'Mapa final'!$R$33),"")</f>
        <v/>
      </c>
      <c r="AG9" s="53" t="str">
        <f>IF(AND('Mapa final'!$AB$34="Muy Alta",'Mapa final'!$AD$34="Mayor"),CONCATENATE("R4C",'Mapa final'!$R$34),"")</f>
        <v/>
      </c>
      <c r="AH9" s="54" t="str">
        <f ca="1">IF(AND('Mapa final'!$AB$29="Muy Alta",'Mapa final'!$AD$29="Catastrófico"),CONCATENATE("R4C",'Mapa final'!$R$29),"")</f>
        <v/>
      </c>
      <c r="AI9" s="55" t="str">
        <f>IF(AND('Mapa final'!$AB$30="Muy Alta",'Mapa final'!$AD$30="Catastrófico"),CONCATENATE("R4C",'Mapa final'!$R$30),"")</f>
        <v/>
      </c>
      <c r="AJ9" s="55" t="str">
        <f>IF(AND('Mapa final'!$AB$31="Muy Alta",'Mapa final'!$AD$31="Catastrófico"),CONCATENATE("R4C",'Mapa final'!$R$31),"")</f>
        <v/>
      </c>
      <c r="AK9" s="55" t="str">
        <f>IF(AND('Mapa final'!$AB$32="Muy Alta",'Mapa final'!$AD$32="Catastrófico"),CONCATENATE("R4C",'Mapa final'!$R$32),"")</f>
        <v/>
      </c>
      <c r="AL9" s="55" t="str">
        <f>IF(AND('Mapa final'!$AB$33="Muy Alta",'Mapa final'!$AD$33="Catastrófico"),CONCATENATE("R4C",'Mapa final'!$R$33),"")</f>
        <v/>
      </c>
      <c r="AM9" s="56" t="str">
        <f>IF(AND('Mapa final'!$AB$34="Muy Alta",'Mapa final'!$AD$34="Catastrófico"),CONCATENATE("R4C",'Mapa final'!$R$34),"")</f>
        <v/>
      </c>
      <c r="AN9" s="83"/>
      <c r="AO9" s="381"/>
      <c r="AP9" s="382"/>
      <c r="AQ9" s="382"/>
      <c r="AR9" s="382"/>
      <c r="AS9" s="382"/>
      <c r="AT9" s="3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4.95" customHeight="1" x14ac:dyDescent="0.3">
      <c r="A10" s="83"/>
      <c r="B10" s="319"/>
      <c r="C10" s="319"/>
      <c r="D10" s="320"/>
      <c r="E10" s="360"/>
      <c r="F10" s="361"/>
      <c r="G10" s="361"/>
      <c r="H10" s="361"/>
      <c r="I10" s="362"/>
      <c r="J10" s="51" t="str">
        <f ca="1">IF(AND('Mapa final'!$AB$35="Muy Alta",'Mapa final'!$AD$35="Leve"),CONCATENATE("R5C",'Mapa final'!$R$35),"")</f>
        <v/>
      </c>
      <c r="K10" s="52" t="str">
        <f>IF(AND('Mapa final'!$AB$36="Muy Alta",'Mapa final'!$AD$36="Leve"),CONCATENATE("R5C",'Mapa final'!$R$36),"")</f>
        <v/>
      </c>
      <c r="L10" s="57" t="str">
        <f>IF(AND('Mapa final'!$AB$37="Muy Alta",'Mapa final'!$AD$37="Leve"),CONCATENATE("R5C",'Mapa final'!$R$37),"")</f>
        <v/>
      </c>
      <c r="M10" s="57" t="str">
        <f>IF(AND('Mapa final'!$AB$38="Muy Alta",'Mapa final'!$AD$38="Leve"),CONCATENATE("R5C",'Mapa final'!$R$38),"")</f>
        <v/>
      </c>
      <c r="N10" s="57" t="str">
        <f>IF(AND('Mapa final'!$AB$39="Muy Alta",'Mapa final'!$AD$39="Leve"),CONCATENATE("R5C",'Mapa final'!$R$39),"")</f>
        <v/>
      </c>
      <c r="O10" s="53" t="str">
        <f>IF(AND('Mapa final'!$AB$40="Muy Alta",'Mapa final'!$AD$40="Leve"),CONCATENATE("R5C",'Mapa final'!$R$40),"")</f>
        <v/>
      </c>
      <c r="P10" s="51" t="str">
        <f ca="1">IF(AND('Mapa final'!$AB$35="Muy Alta",'Mapa final'!$AD$35="Menor"),CONCATENATE("R5C",'Mapa final'!$R$35),"")</f>
        <v/>
      </c>
      <c r="Q10" s="52" t="str">
        <f>IF(AND('Mapa final'!$AB$36="Muy Alta",'Mapa final'!$AD$36="Menor"),CONCATENATE("R5C",'Mapa final'!$R$36),"")</f>
        <v/>
      </c>
      <c r="R10" s="57" t="str">
        <f>IF(AND('Mapa final'!$AB$37="Muy Alta",'Mapa final'!$AD$37="Menor"),CONCATENATE("R5C",'Mapa final'!$R$37),"")</f>
        <v/>
      </c>
      <c r="S10" s="57" t="str">
        <f>IF(AND('Mapa final'!$AB$38="Muy Alta",'Mapa final'!$AD$38="Menor"),CONCATENATE("R5C",'Mapa final'!$R$38),"")</f>
        <v/>
      </c>
      <c r="T10" s="57" t="str">
        <f>IF(AND('Mapa final'!$AB$39="Muy Alta",'Mapa final'!$AD$39="Menor"),CONCATENATE("R5C",'Mapa final'!$R$39),"")</f>
        <v/>
      </c>
      <c r="U10" s="53" t="str">
        <f>IF(AND('Mapa final'!$AB$40="Muy Alta",'Mapa final'!$AD$40="Menor"),CONCATENATE("R5C",'Mapa final'!$R$40),"")</f>
        <v/>
      </c>
      <c r="V10" s="51" t="str">
        <f ca="1">IF(AND('Mapa final'!$AB$35="Muy Alta",'Mapa final'!$AD$35="Moderado"),CONCATENATE("R5C",'Mapa final'!$R$35),"")</f>
        <v/>
      </c>
      <c r="W10" s="52" t="str">
        <f>IF(AND('Mapa final'!$AB$36="Muy Alta",'Mapa final'!$AD$36="Moderado"),CONCATENATE("R5C",'Mapa final'!$R$36),"")</f>
        <v/>
      </c>
      <c r="X10" s="57" t="str">
        <f>IF(AND('Mapa final'!$AB$37="Muy Alta",'Mapa final'!$AD$37="Moderado"),CONCATENATE("R5C",'Mapa final'!$R$37),"")</f>
        <v/>
      </c>
      <c r="Y10" s="57" t="str">
        <f>IF(AND('Mapa final'!$AB$38="Muy Alta",'Mapa final'!$AD$38="Moderado"),CONCATENATE("R5C",'Mapa final'!$R$38),"")</f>
        <v/>
      </c>
      <c r="Z10" s="57" t="str">
        <f>IF(AND('Mapa final'!$AB$39="Muy Alta",'Mapa final'!$AD$39="Moderado"),CONCATENATE("R5C",'Mapa final'!$R$39),"")</f>
        <v/>
      </c>
      <c r="AA10" s="53" t="str">
        <f>IF(AND('Mapa final'!$AB$40="Muy Alta",'Mapa final'!$AD$40="Moderado"),CONCATENATE("R5C",'Mapa final'!$R$40),"")</f>
        <v/>
      </c>
      <c r="AB10" s="51" t="str">
        <f ca="1">IF(AND('Mapa final'!$AB$35="Muy Alta",'Mapa final'!$AD$35="Mayor"),CONCATENATE("R5C",'Mapa final'!$R$35),"")</f>
        <v/>
      </c>
      <c r="AC10" s="52" t="str">
        <f>IF(AND('Mapa final'!$AB$36="Muy Alta",'Mapa final'!$AD$36="Mayor"),CONCATENATE("R5C",'Mapa final'!$R$36),"")</f>
        <v/>
      </c>
      <c r="AD10" s="57" t="str">
        <f>IF(AND('Mapa final'!$AB$37="Muy Alta",'Mapa final'!$AD$37="Mayor"),CONCATENATE("R5C",'Mapa final'!$R$37),"")</f>
        <v/>
      </c>
      <c r="AE10" s="57" t="str">
        <f>IF(AND('Mapa final'!$AB$38="Muy Alta",'Mapa final'!$AD$38="Mayor"),CONCATENATE("R5C",'Mapa final'!$R$38),"")</f>
        <v/>
      </c>
      <c r="AF10" s="57" t="str">
        <f>IF(AND('Mapa final'!$AB$39="Muy Alta",'Mapa final'!$AD$39="Mayor"),CONCATENATE("R5C",'Mapa final'!$R$39),"")</f>
        <v/>
      </c>
      <c r="AG10" s="53" t="str">
        <f>IF(AND('Mapa final'!$AB$40="Muy Alta",'Mapa final'!$AD$40="Mayor"),CONCATENATE("R5C",'Mapa final'!$R$40),"")</f>
        <v/>
      </c>
      <c r="AH10" s="54" t="str">
        <f ca="1">IF(AND('Mapa final'!$AB$35="Muy Alta",'Mapa final'!$AD$35="Catastrófico"),CONCATENATE("R5C",'Mapa final'!$R$35),"")</f>
        <v/>
      </c>
      <c r="AI10" s="55" t="str">
        <f>IF(AND('Mapa final'!$AB$36="Muy Alta",'Mapa final'!$AD$36="Catastrófico"),CONCATENATE("R5C",'Mapa final'!$R$36),"")</f>
        <v/>
      </c>
      <c r="AJ10" s="55" t="str">
        <f>IF(AND('Mapa final'!$AB$37="Muy Alta",'Mapa final'!$AD$37="Catastrófico"),CONCATENATE("R5C",'Mapa final'!$R$37),"")</f>
        <v/>
      </c>
      <c r="AK10" s="55" t="str">
        <f>IF(AND('Mapa final'!$AB$38="Muy Alta",'Mapa final'!$AD$38="Catastrófico"),CONCATENATE("R5C",'Mapa final'!$R$38),"")</f>
        <v/>
      </c>
      <c r="AL10" s="55" t="str">
        <f>IF(AND('Mapa final'!$AB$39="Muy Alta",'Mapa final'!$AD$39="Catastrófico"),CONCATENATE("R5C",'Mapa final'!$R$39),"")</f>
        <v/>
      </c>
      <c r="AM10" s="56" t="str">
        <f>IF(AND('Mapa final'!$AB$40="Muy Alta",'Mapa final'!$AD$40="Catastrófico"),CONCATENATE("R5C",'Mapa final'!$R$40),"")</f>
        <v/>
      </c>
      <c r="AN10" s="83"/>
      <c r="AO10" s="381"/>
      <c r="AP10" s="382"/>
      <c r="AQ10" s="382"/>
      <c r="AR10" s="382"/>
      <c r="AS10" s="382"/>
      <c r="AT10" s="3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4.95" customHeight="1" x14ac:dyDescent="0.3">
      <c r="A11" s="83"/>
      <c r="B11" s="319"/>
      <c r="C11" s="319"/>
      <c r="D11" s="320"/>
      <c r="E11" s="360"/>
      <c r="F11" s="361"/>
      <c r="G11" s="361"/>
      <c r="H11" s="361"/>
      <c r="I11" s="362"/>
      <c r="J11" s="51" t="str">
        <f ca="1">IF(AND('Mapa final'!$AB$41="Muy Alta",'Mapa final'!$AD$41="Leve"),CONCATENATE("R6C",'Mapa final'!$R$41),"")</f>
        <v/>
      </c>
      <c r="K11" s="52" t="str">
        <f>IF(AND('Mapa final'!$AB$42="Muy Alta",'Mapa final'!$AD$42="Leve"),CONCATENATE("R6C",'Mapa final'!$R$42),"")</f>
        <v/>
      </c>
      <c r="L11" s="57" t="str">
        <f>IF(AND('Mapa final'!$AB$43="Muy Alta",'Mapa final'!$AD$43="Leve"),CONCATENATE("R6C",'Mapa final'!$R$43),"")</f>
        <v/>
      </c>
      <c r="M11" s="57" t="str">
        <f>IF(AND('Mapa final'!$AB$44="Muy Alta",'Mapa final'!$AD$44="Leve"),CONCATENATE("R6C",'Mapa final'!$R$44),"")</f>
        <v/>
      </c>
      <c r="N11" s="57" t="str">
        <f>IF(AND('Mapa final'!$AB$45="Muy Alta",'Mapa final'!$AD$45="Leve"),CONCATENATE("R6C",'Mapa final'!$R$45),"")</f>
        <v/>
      </c>
      <c r="O11" s="53" t="str">
        <f>IF(AND('Mapa final'!$AB$46="Muy Alta",'Mapa final'!$AD$46="Leve"),CONCATENATE("R6C",'Mapa final'!$R$46),"")</f>
        <v/>
      </c>
      <c r="P11" s="51" t="str">
        <f ca="1">IF(AND('Mapa final'!$AB$41="Muy Alta",'Mapa final'!$AD$41="Menor"),CONCATENATE("R6C",'Mapa final'!$R$41),"")</f>
        <v/>
      </c>
      <c r="Q11" s="52" t="str">
        <f>IF(AND('Mapa final'!$AB$42="Muy Alta",'Mapa final'!$AD$42="Menor"),CONCATENATE("R6C",'Mapa final'!$R$42),"")</f>
        <v/>
      </c>
      <c r="R11" s="57" t="str">
        <f>IF(AND('Mapa final'!$AB$43="Muy Alta",'Mapa final'!$AD$43="Menor"),CONCATENATE("R6C",'Mapa final'!$R$43),"")</f>
        <v/>
      </c>
      <c r="S11" s="57" t="str">
        <f>IF(AND('Mapa final'!$AB$44="Muy Alta",'Mapa final'!$AD$44="Menor"),CONCATENATE("R6C",'Mapa final'!$R$44),"")</f>
        <v/>
      </c>
      <c r="T11" s="57" t="str">
        <f>IF(AND('Mapa final'!$AB$45="Muy Alta",'Mapa final'!$AD$45="Menor"),CONCATENATE("R6C",'Mapa final'!$R$45),"")</f>
        <v/>
      </c>
      <c r="U11" s="53" t="str">
        <f>IF(AND('Mapa final'!$AB$46="Muy Alta",'Mapa final'!$AD$46="Menor"),CONCATENATE("R6C",'Mapa final'!$R$46),"")</f>
        <v/>
      </c>
      <c r="V11" s="51" t="str">
        <f ca="1">IF(AND('Mapa final'!$AB$41="Muy Alta",'Mapa final'!$AD$41="Moderado"),CONCATENATE("R6C",'Mapa final'!$R$41),"")</f>
        <v/>
      </c>
      <c r="W11" s="52" t="str">
        <f>IF(AND('Mapa final'!$AB$42="Muy Alta",'Mapa final'!$AD$42="Moderado"),CONCATENATE("R6C",'Mapa final'!$R$42),"")</f>
        <v/>
      </c>
      <c r="X11" s="57" t="str">
        <f>IF(AND('Mapa final'!$AB$43="Muy Alta",'Mapa final'!$AD$43="Moderado"),CONCATENATE("R6C",'Mapa final'!$R$43),"")</f>
        <v/>
      </c>
      <c r="Y11" s="57" t="str">
        <f>IF(AND('Mapa final'!$AB$44="Muy Alta",'Mapa final'!$AD$44="Moderado"),CONCATENATE("R6C",'Mapa final'!$R$44),"")</f>
        <v/>
      </c>
      <c r="Z11" s="57" t="str">
        <f>IF(AND('Mapa final'!$AB$45="Muy Alta",'Mapa final'!$AD$45="Moderado"),CONCATENATE("R6C",'Mapa final'!$R$45),"")</f>
        <v/>
      </c>
      <c r="AA11" s="53" t="str">
        <f>IF(AND('Mapa final'!$AB$46="Muy Alta",'Mapa final'!$AD$46="Moderado"),CONCATENATE("R6C",'Mapa final'!$R$46),"")</f>
        <v/>
      </c>
      <c r="AB11" s="51" t="str">
        <f ca="1">IF(AND('Mapa final'!$AB$41="Muy Alta",'Mapa final'!$AD$41="Mayor"),CONCATENATE("R6C",'Mapa final'!$R$41),"")</f>
        <v/>
      </c>
      <c r="AC11" s="52" t="str">
        <f>IF(AND('Mapa final'!$AB$42="Muy Alta",'Mapa final'!$AD$42="Mayor"),CONCATENATE("R6C",'Mapa final'!$R$42),"")</f>
        <v/>
      </c>
      <c r="AD11" s="57" t="str">
        <f>IF(AND('Mapa final'!$AB$43="Muy Alta",'Mapa final'!$AD$43="Mayor"),CONCATENATE("R6C",'Mapa final'!$R$43),"")</f>
        <v/>
      </c>
      <c r="AE11" s="57" t="str">
        <f>IF(AND('Mapa final'!$AB$44="Muy Alta",'Mapa final'!$AD$44="Mayor"),CONCATENATE("R6C",'Mapa final'!$R$44),"")</f>
        <v/>
      </c>
      <c r="AF11" s="57" t="str">
        <f>IF(AND('Mapa final'!$AB$45="Muy Alta",'Mapa final'!$AD$45="Mayor"),CONCATENATE("R6C",'Mapa final'!$R$45),"")</f>
        <v/>
      </c>
      <c r="AG11" s="53" t="str">
        <f>IF(AND('Mapa final'!$AB$46="Muy Alta",'Mapa final'!$AD$46="Mayor"),CONCATENATE("R6C",'Mapa final'!$R$46),"")</f>
        <v/>
      </c>
      <c r="AH11" s="54" t="str">
        <f ca="1">IF(AND('Mapa final'!$AB$41="Muy Alta",'Mapa final'!$AD$41="Catastrófico"),CONCATENATE("R6C",'Mapa final'!$R$41),"")</f>
        <v/>
      </c>
      <c r="AI11" s="55" t="str">
        <f>IF(AND('Mapa final'!$AB$42="Muy Alta",'Mapa final'!$AD$42="Catastrófico"),CONCATENATE("R6C",'Mapa final'!$R$42),"")</f>
        <v/>
      </c>
      <c r="AJ11" s="55" t="str">
        <f>IF(AND('Mapa final'!$AB$43="Muy Alta",'Mapa final'!$AD$43="Catastrófico"),CONCATENATE("R6C",'Mapa final'!$R$43),"")</f>
        <v/>
      </c>
      <c r="AK11" s="55" t="str">
        <f>IF(AND('Mapa final'!$AB$44="Muy Alta",'Mapa final'!$AD$44="Catastrófico"),CONCATENATE("R6C",'Mapa final'!$R$44),"")</f>
        <v/>
      </c>
      <c r="AL11" s="55" t="str">
        <f>IF(AND('Mapa final'!$AB$45="Muy Alta",'Mapa final'!$AD$45="Catastrófico"),CONCATENATE("R6C",'Mapa final'!$R$45),"")</f>
        <v/>
      </c>
      <c r="AM11" s="56" t="str">
        <f>IF(AND('Mapa final'!$AB$46="Muy Alta",'Mapa final'!$AD$46="Catastrófico"),CONCATENATE("R6C",'Mapa final'!$R$46),"")</f>
        <v/>
      </c>
      <c r="AN11" s="83"/>
      <c r="AO11" s="381"/>
      <c r="AP11" s="382"/>
      <c r="AQ11" s="382"/>
      <c r="AR11" s="382"/>
      <c r="AS11" s="382"/>
      <c r="AT11" s="3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4.95" customHeight="1" x14ac:dyDescent="0.3">
      <c r="A12" s="83"/>
      <c r="B12" s="319"/>
      <c r="C12" s="319"/>
      <c r="D12" s="320"/>
      <c r="E12" s="360"/>
      <c r="F12" s="361"/>
      <c r="G12" s="361"/>
      <c r="H12" s="361"/>
      <c r="I12" s="362"/>
      <c r="J12" s="51" t="str">
        <f ca="1">IF(AND('Mapa final'!$AB$47="Muy Alta",'Mapa final'!$AD$47="Leve"),CONCATENATE("R7C",'Mapa final'!$R$47),"")</f>
        <v/>
      </c>
      <c r="K12" s="52" t="str">
        <f>IF(AND('Mapa final'!$AB$48="Muy Alta",'Mapa final'!$AD$48="Leve"),CONCATENATE("R7C",'Mapa final'!$R$48),"")</f>
        <v/>
      </c>
      <c r="L12" s="57" t="str">
        <f>IF(AND('Mapa final'!$AB$49="Muy Alta",'Mapa final'!$AD$49="Leve"),CONCATENATE("R7C",'Mapa final'!$R$49),"")</f>
        <v/>
      </c>
      <c r="M12" s="57" t="str">
        <f>IF(AND('Mapa final'!$AB$50="Muy Alta",'Mapa final'!$AD$50="Leve"),CONCATENATE("R7C",'Mapa final'!$R$50),"")</f>
        <v/>
      </c>
      <c r="N12" s="57" t="str">
        <f>IF(AND('Mapa final'!$AB$51="Muy Alta",'Mapa final'!$AD$51="Leve"),CONCATENATE("R7C",'Mapa final'!$R$51),"")</f>
        <v/>
      </c>
      <c r="O12" s="53" t="str">
        <f>IF(AND('Mapa final'!$AB$52="Muy Alta",'Mapa final'!$AD$52="Leve"),CONCATENATE("R7C",'Mapa final'!$R$52),"")</f>
        <v/>
      </c>
      <c r="P12" s="51" t="str">
        <f ca="1">IF(AND('Mapa final'!$AB$47="Muy Alta",'Mapa final'!$AD$47="Menor"),CONCATENATE("R7C",'Mapa final'!$R$47),"")</f>
        <v/>
      </c>
      <c r="Q12" s="52" t="str">
        <f>IF(AND('Mapa final'!$AB$48="Muy Alta",'Mapa final'!$AD$48="Menor"),CONCATENATE("R7C",'Mapa final'!$R$48),"")</f>
        <v/>
      </c>
      <c r="R12" s="57" t="str">
        <f>IF(AND('Mapa final'!$AB$49="Muy Alta",'Mapa final'!$AD$49="Menor"),CONCATENATE("R7C",'Mapa final'!$R$49),"")</f>
        <v/>
      </c>
      <c r="S12" s="57" t="str">
        <f>IF(AND('Mapa final'!$AB$50="Muy Alta",'Mapa final'!$AD$50="Menor"),CONCATENATE("R7C",'Mapa final'!$R$50),"")</f>
        <v/>
      </c>
      <c r="T12" s="57" t="str">
        <f>IF(AND('Mapa final'!$AB$51="Muy Alta",'Mapa final'!$AD$51="Menor"),CONCATENATE("R7C",'Mapa final'!$R$51),"")</f>
        <v/>
      </c>
      <c r="U12" s="53" t="str">
        <f>IF(AND('Mapa final'!$AB$52="Muy Alta",'Mapa final'!$AD$52="Menor"),CONCATENATE("R7C",'Mapa final'!$R$52),"")</f>
        <v/>
      </c>
      <c r="V12" s="51" t="str">
        <f ca="1">IF(AND('Mapa final'!$AB$47="Muy Alta",'Mapa final'!$AD$47="Moderado"),CONCATENATE("R7C",'Mapa final'!$R$47),"")</f>
        <v/>
      </c>
      <c r="W12" s="52" t="str">
        <f>IF(AND('Mapa final'!$AB$48="Muy Alta",'Mapa final'!$AD$48="Moderado"),CONCATENATE("R7C",'Mapa final'!$R$48),"")</f>
        <v/>
      </c>
      <c r="X12" s="57" t="str">
        <f>IF(AND('Mapa final'!$AB$49="Muy Alta",'Mapa final'!$AD$49="Moderado"),CONCATENATE("R7C",'Mapa final'!$R$49),"")</f>
        <v/>
      </c>
      <c r="Y12" s="57" t="str">
        <f>IF(AND('Mapa final'!$AB$50="Muy Alta",'Mapa final'!$AD$50="Moderado"),CONCATENATE("R7C",'Mapa final'!$R$50),"")</f>
        <v/>
      </c>
      <c r="Z12" s="57" t="str">
        <f>IF(AND('Mapa final'!$AB$51="Muy Alta",'Mapa final'!$AD$51="Moderado"),CONCATENATE("R7C",'Mapa final'!$R$51),"")</f>
        <v/>
      </c>
      <c r="AA12" s="53" t="str">
        <f>IF(AND('Mapa final'!$AB$52="Muy Alta",'Mapa final'!$AD$52="Moderado"),CONCATENATE("R7C",'Mapa final'!$R$52),"")</f>
        <v/>
      </c>
      <c r="AB12" s="51" t="str">
        <f ca="1">IF(AND('Mapa final'!$AB$47="Muy Alta",'Mapa final'!$AD$47="Mayor"),CONCATENATE("R7C",'Mapa final'!$R$47),"")</f>
        <v/>
      </c>
      <c r="AC12" s="52" t="str">
        <f>IF(AND('Mapa final'!$AB$48="Muy Alta",'Mapa final'!$AD$48="Mayor"),CONCATENATE("R7C",'Mapa final'!$R$48),"")</f>
        <v/>
      </c>
      <c r="AD12" s="57" t="str">
        <f>IF(AND('Mapa final'!$AB$49="Muy Alta",'Mapa final'!$AD$49="Mayor"),CONCATENATE("R7C",'Mapa final'!$R$49),"")</f>
        <v/>
      </c>
      <c r="AE12" s="57" t="str">
        <f>IF(AND('Mapa final'!$AB$50="Muy Alta",'Mapa final'!$AD$50="Mayor"),CONCATENATE("R7C",'Mapa final'!$R$50),"")</f>
        <v/>
      </c>
      <c r="AF12" s="57" t="str">
        <f>IF(AND('Mapa final'!$AB$51="Muy Alta",'Mapa final'!$AD$51="Mayor"),CONCATENATE("R7C",'Mapa final'!$R$51),"")</f>
        <v/>
      </c>
      <c r="AG12" s="53" t="str">
        <f>IF(AND('Mapa final'!$AB$52="Muy Alta",'Mapa final'!$AD$52="Mayor"),CONCATENATE("R7C",'Mapa final'!$R$52),"")</f>
        <v/>
      </c>
      <c r="AH12" s="54" t="str">
        <f ca="1">IF(AND('Mapa final'!$AB$47="Muy Alta",'Mapa final'!$AD$47="Catastrófico"),CONCATENATE("R7C",'Mapa final'!$R$47),"")</f>
        <v/>
      </c>
      <c r="AI12" s="55" t="str">
        <f>IF(AND('Mapa final'!$AB$48="Muy Alta",'Mapa final'!$AD$48="Catastrófico"),CONCATENATE("R7C",'Mapa final'!$R$48),"")</f>
        <v/>
      </c>
      <c r="AJ12" s="55" t="str">
        <f>IF(AND('Mapa final'!$AB$49="Muy Alta",'Mapa final'!$AD$49="Catastrófico"),CONCATENATE("R7C",'Mapa final'!$R$49),"")</f>
        <v/>
      </c>
      <c r="AK12" s="55" t="str">
        <f>IF(AND('Mapa final'!$AB$50="Muy Alta",'Mapa final'!$AD$50="Catastrófico"),CONCATENATE("R7C",'Mapa final'!$R$50),"")</f>
        <v/>
      </c>
      <c r="AL12" s="55" t="str">
        <f>IF(AND('Mapa final'!$AB$51="Muy Alta",'Mapa final'!$AD$51="Catastrófico"),CONCATENATE("R7C",'Mapa final'!$R$51),"")</f>
        <v/>
      </c>
      <c r="AM12" s="56" t="str">
        <f>IF(AND('Mapa final'!$AB$52="Muy Alta",'Mapa final'!$AD$52="Catastrófico"),CONCATENATE("R7C",'Mapa final'!$R$52),"")</f>
        <v/>
      </c>
      <c r="AN12" s="83"/>
      <c r="AO12" s="381"/>
      <c r="AP12" s="382"/>
      <c r="AQ12" s="382"/>
      <c r="AR12" s="382"/>
      <c r="AS12" s="382"/>
      <c r="AT12" s="3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4.95" customHeight="1" x14ac:dyDescent="0.3">
      <c r="A13" s="83"/>
      <c r="B13" s="319"/>
      <c r="C13" s="319"/>
      <c r="D13" s="320"/>
      <c r="E13" s="360"/>
      <c r="F13" s="361"/>
      <c r="G13" s="361"/>
      <c r="H13" s="361"/>
      <c r="I13" s="362"/>
      <c r="J13" s="51" t="str">
        <f ca="1">IF(AND('Mapa final'!$AB$53="Muy Alta",'Mapa final'!$AD$53="Leve"),CONCATENATE("R8C",'Mapa final'!$R$53),"")</f>
        <v/>
      </c>
      <c r="K13" s="52" t="str">
        <f ca="1">IF(AND('Mapa final'!$AB$54="Muy Alta",'Mapa final'!$AD$54="Leve"),CONCATENATE("R8C",'Mapa final'!$R$54),"")</f>
        <v/>
      </c>
      <c r="L13" s="57" t="str">
        <f>IF(AND('Mapa final'!$AB$55="Muy Alta",'Mapa final'!$AD$55="Leve"),CONCATENATE("R8C",'Mapa final'!$R$55),"")</f>
        <v/>
      </c>
      <c r="M13" s="57" t="str">
        <f>IF(AND('Mapa final'!$AB$56="Muy Alta",'Mapa final'!$AD$56="Leve"),CONCATENATE("R8C",'Mapa final'!$R$56),"")</f>
        <v/>
      </c>
      <c r="N13" s="57" t="str">
        <f>IF(AND('Mapa final'!$AB$57="Muy Alta",'Mapa final'!$AD$57="Leve"),CONCATENATE("R8C",'Mapa final'!$R$57),"")</f>
        <v/>
      </c>
      <c r="O13" s="53" t="str">
        <f>IF(AND('Mapa final'!$AB$58="Muy Alta",'Mapa final'!$AD$58="Leve"),CONCATENATE("R8C",'Mapa final'!$R$58),"")</f>
        <v/>
      </c>
      <c r="P13" s="51" t="str">
        <f ca="1">IF(AND('Mapa final'!$AB$53="Muy Alta",'Mapa final'!$AD$53="Menor"),CONCATENATE("R8C",'Mapa final'!$R$53),"")</f>
        <v/>
      </c>
      <c r="Q13" s="52" t="str">
        <f ca="1">IF(AND('Mapa final'!$AB$54="Muy Alta",'Mapa final'!$AD$54="Menor"),CONCATENATE("R8C",'Mapa final'!$R$54),"")</f>
        <v/>
      </c>
      <c r="R13" s="57" t="str">
        <f>IF(AND('Mapa final'!$AB$55="Muy Alta",'Mapa final'!$AD$55="Menor"),CONCATENATE("R8C",'Mapa final'!$R$55),"")</f>
        <v/>
      </c>
      <c r="S13" s="57" t="str">
        <f>IF(AND('Mapa final'!$AB$56="Muy Alta",'Mapa final'!$AD$56="Menor"),CONCATENATE("R8C",'Mapa final'!$R$56),"")</f>
        <v/>
      </c>
      <c r="T13" s="57" t="str">
        <f>IF(AND('Mapa final'!$AB$57="Muy Alta",'Mapa final'!$AD$57="Menor"),CONCATENATE("R8C",'Mapa final'!$R$57),"")</f>
        <v/>
      </c>
      <c r="U13" s="53" t="str">
        <f>IF(AND('Mapa final'!$AB$58="Muy Alta",'Mapa final'!$AD$58="Menor"),CONCATENATE("R8C",'Mapa final'!$R$58),"")</f>
        <v/>
      </c>
      <c r="V13" s="51" t="str">
        <f ca="1">IF(AND('Mapa final'!$AB$53="Muy Alta",'Mapa final'!$AD$53="Moderado"),CONCATENATE("R8C",'Mapa final'!$R$53),"")</f>
        <v/>
      </c>
      <c r="W13" s="52" t="str">
        <f ca="1">IF(AND('Mapa final'!$AB$54="Muy Alta",'Mapa final'!$AD$54="Moderado"),CONCATENATE("R8C",'Mapa final'!$R$54),"")</f>
        <v/>
      </c>
      <c r="X13" s="57" t="str">
        <f>IF(AND('Mapa final'!$AB$55="Muy Alta",'Mapa final'!$AD$55="Moderado"),CONCATENATE("R8C",'Mapa final'!$R$55),"")</f>
        <v/>
      </c>
      <c r="Y13" s="57" t="str">
        <f>IF(AND('Mapa final'!$AB$56="Muy Alta",'Mapa final'!$AD$56="Moderado"),CONCATENATE("R8C",'Mapa final'!$R$56),"")</f>
        <v/>
      </c>
      <c r="Z13" s="57" t="str">
        <f>IF(AND('Mapa final'!$AB$57="Muy Alta",'Mapa final'!$AD$57="Moderado"),CONCATENATE("R8C",'Mapa final'!$R$57),"")</f>
        <v/>
      </c>
      <c r="AA13" s="53" t="str">
        <f>IF(AND('Mapa final'!$AB$58="Muy Alta",'Mapa final'!$AD$58="Moderado"),CONCATENATE("R8C",'Mapa final'!$R$58),"")</f>
        <v/>
      </c>
      <c r="AB13" s="51" t="str">
        <f ca="1">IF(AND('Mapa final'!$AB$53="Muy Alta",'Mapa final'!$AD$53="Mayor"),CONCATENATE("R8C",'Mapa final'!$R$53),"")</f>
        <v/>
      </c>
      <c r="AC13" s="52" t="str">
        <f ca="1">IF(AND('Mapa final'!$AB$54="Muy Alta",'Mapa final'!$AD$54="Mayor"),CONCATENATE("R8C",'Mapa final'!$R$54),"")</f>
        <v/>
      </c>
      <c r="AD13" s="57" t="str">
        <f>IF(AND('Mapa final'!$AB$55="Muy Alta",'Mapa final'!$AD$55="Mayor"),CONCATENATE("R8C",'Mapa final'!$R$55),"")</f>
        <v/>
      </c>
      <c r="AE13" s="57" t="str">
        <f>IF(AND('Mapa final'!$AB$56="Muy Alta",'Mapa final'!$AD$56="Mayor"),CONCATENATE("R8C",'Mapa final'!$R$56),"")</f>
        <v/>
      </c>
      <c r="AF13" s="57" t="str">
        <f>IF(AND('Mapa final'!$AB$57="Muy Alta",'Mapa final'!$AD$57="Mayor"),CONCATENATE("R8C",'Mapa final'!$R$57),"")</f>
        <v/>
      </c>
      <c r="AG13" s="53" t="str">
        <f>IF(AND('Mapa final'!$AB$58="Muy Alta",'Mapa final'!$AD$58="Mayor"),CONCATENATE("R8C",'Mapa final'!$R$58),"")</f>
        <v/>
      </c>
      <c r="AH13" s="54" t="str">
        <f ca="1">IF(AND('Mapa final'!$AB$53="Muy Alta",'Mapa final'!$AD$53="Catastrófico"),CONCATENATE("R8C",'Mapa final'!$R$53),"")</f>
        <v/>
      </c>
      <c r="AI13" s="55" t="str">
        <f ca="1">IF(AND('Mapa final'!$AB$54="Muy Alta",'Mapa final'!$AD$54="Catastrófico"),CONCATENATE("R8C",'Mapa final'!$R$54),"")</f>
        <v/>
      </c>
      <c r="AJ13" s="55" t="str">
        <f>IF(AND('Mapa final'!$AB$55="Muy Alta",'Mapa final'!$AD$55="Catastrófico"),CONCATENATE("R8C",'Mapa final'!$R$55),"")</f>
        <v/>
      </c>
      <c r="AK13" s="55" t="str">
        <f>IF(AND('Mapa final'!$AB$56="Muy Alta",'Mapa final'!$AD$56="Catastrófico"),CONCATENATE("R8C",'Mapa final'!$R$56),"")</f>
        <v/>
      </c>
      <c r="AL13" s="55" t="str">
        <f>IF(AND('Mapa final'!$AB$57="Muy Alta",'Mapa final'!$AD$57="Catastrófico"),CONCATENATE("R8C",'Mapa final'!$R$57),"")</f>
        <v/>
      </c>
      <c r="AM13" s="56" t="str">
        <f>IF(AND('Mapa final'!$AB$58="Muy Alta",'Mapa final'!$AD$58="Catastrófico"),CONCATENATE("R8C",'Mapa final'!$R$58),"")</f>
        <v/>
      </c>
      <c r="AN13" s="83"/>
      <c r="AO13" s="381"/>
      <c r="AP13" s="382"/>
      <c r="AQ13" s="382"/>
      <c r="AR13" s="382"/>
      <c r="AS13" s="382"/>
      <c r="AT13" s="3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4.95" customHeight="1" x14ac:dyDescent="0.3">
      <c r="A14" s="83"/>
      <c r="B14" s="319"/>
      <c r="C14" s="319"/>
      <c r="D14" s="320"/>
      <c r="E14" s="360"/>
      <c r="F14" s="361"/>
      <c r="G14" s="361"/>
      <c r="H14" s="361"/>
      <c r="I14" s="362"/>
      <c r="J14" s="51" t="str">
        <f ca="1">IF(AND('Mapa final'!$AB$59="Muy Alta",'Mapa final'!$AD$59="Leve"),CONCATENATE("R9C",'Mapa final'!$R$59),"")</f>
        <v/>
      </c>
      <c r="K14" s="52" t="str">
        <f>IF(AND('Mapa final'!$AB$60="Muy Alta",'Mapa final'!$AD$60="Leve"),CONCATENATE("R9C",'Mapa final'!$R$60),"")</f>
        <v/>
      </c>
      <c r="L14" s="57" t="str">
        <f>IF(AND('Mapa final'!$AB$61="Muy Alta",'Mapa final'!$AD$61="Leve"),CONCATENATE("R9C",'Mapa final'!$R$61),"")</f>
        <v/>
      </c>
      <c r="M14" s="57" t="str">
        <f>IF(AND('Mapa final'!$AB$62="Muy Alta",'Mapa final'!$AD$62="Leve"),CONCATENATE("R9C",'Mapa final'!$R$62),"")</f>
        <v/>
      </c>
      <c r="N14" s="57" t="str">
        <f>IF(AND('Mapa final'!$AB$63="Muy Alta",'Mapa final'!$AD$63="Leve"),CONCATENATE("R9C",'Mapa final'!$R$63),"")</f>
        <v/>
      </c>
      <c r="O14" s="53" t="str">
        <f>IF(AND('Mapa final'!$AB$64="Muy Alta",'Mapa final'!$AD$64="Leve"),CONCATENATE("R9C",'Mapa final'!$R$64),"")</f>
        <v/>
      </c>
      <c r="P14" s="51" t="str">
        <f ca="1">IF(AND('Mapa final'!$AB$59="Muy Alta",'Mapa final'!$AD$59="Menor"),CONCATENATE("R9C",'Mapa final'!$R$59),"")</f>
        <v/>
      </c>
      <c r="Q14" s="52" t="str">
        <f>IF(AND('Mapa final'!$AB$60="Muy Alta",'Mapa final'!$AD$60="Menor"),CONCATENATE("R9C",'Mapa final'!$R$60),"")</f>
        <v/>
      </c>
      <c r="R14" s="57" t="str">
        <f>IF(AND('Mapa final'!$AB$61="Muy Alta",'Mapa final'!$AD$61="Menor"),CONCATENATE("R9C",'Mapa final'!$R$61),"")</f>
        <v/>
      </c>
      <c r="S14" s="57" t="str">
        <f>IF(AND('Mapa final'!$AB$62="Muy Alta",'Mapa final'!$AD$62="Menor"),CONCATENATE("R9C",'Mapa final'!$R$62),"")</f>
        <v/>
      </c>
      <c r="T14" s="57" t="str">
        <f>IF(AND('Mapa final'!$AB$63="Muy Alta",'Mapa final'!$AD$63="Menor"),CONCATENATE("R9C",'Mapa final'!$R$63),"")</f>
        <v/>
      </c>
      <c r="U14" s="53" t="str">
        <f>IF(AND('Mapa final'!$AB$64="Muy Alta",'Mapa final'!$AD$64="Menor"),CONCATENATE("R9C",'Mapa final'!$R$64),"")</f>
        <v/>
      </c>
      <c r="V14" s="51" t="str">
        <f ca="1">IF(AND('Mapa final'!$AB$59="Muy Alta",'Mapa final'!$AD$59="Moderado"),CONCATENATE("R9C",'Mapa final'!$R$59),"")</f>
        <v/>
      </c>
      <c r="W14" s="52" t="str">
        <f>IF(AND('Mapa final'!$AB$60="Muy Alta",'Mapa final'!$AD$60="Moderado"),CONCATENATE("R9C",'Mapa final'!$R$60),"")</f>
        <v/>
      </c>
      <c r="X14" s="57" t="str">
        <f>IF(AND('Mapa final'!$AB$61="Muy Alta",'Mapa final'!$AD$61="Moderado"),CONCATENATE("R9C",'Mapa final'!$R$61),"")</f>
        <v/>
      </c>
      <c r="Y14" s="57" t="str">
        <f>IF(AND('Mapa final'!$AB$62="Muy Alta",'Mapa final'!$AD$62="Moderado"),CONCATENATE("R9C",'Mapa final'!$R$62),"")</f>
        <v/>
      </c>
      <c r="Z14" s="57" t="str">
        <f>IF(AND('Mapa final'!$AB$63="Muy Alta",'Mapa final'!$AD$63="Moderado"),CONCATENATE("R9C",'Mapa final'!$R$63),"")</f>
        <v/>
      </c>
      <c r="AA14" s="53" t="str">
        <f>IF(AND('Mapa final'!$AB$64="Muy Alta",'Mapa final'!$AD$64="Moderado"),CONCATENATE("R9C",'Mapa final'!$R$64),"")</f>
        <v/>
      </c>
      <c r="AB14" s="51" t="str">
        <f ca="1">IF(AND('Mapa final'!$AB$59="Muy Alta",'Mapa final'!$AD$59="Mayor"),CONCATENATE("R9C",'Mapa final'!$R$59),"")</f>
        <v/>
      </c>
      <c r="AC14" s="52" t="str">
        <f>IF(AND('Mapa final'!$AB$60="Muy Alta",'Mapa final'!$AD$60="Mayor"),CONCATENATE("R9C",'Mapa final'!$R$60),"")</f>
        <v/>
      </c>
      <c r="AD14" s="57" t="str">
        <f>IF(AND('Mapa final'!$AB$61="Muy Alta",'Mapa final'!$AD$61="Mayor"),CONCATENATE("R9C",'Mapa final'!$R$61),"")</f>
        <v/>
      </c>
      <c r="AE14" s="57" t="str">
        <f>IF(AND('Mapa final'!$AB$62="Muy Alta",'Mapa final'!$AD$62="Mayor"),CONCATENATE("R9C",'Mapa final'!$R$62),"")</f>
        <v/>
      </c>
      <c r="AF14" s="57" t="str">
        <f>IF(AND('Mapa final'!$AB$63="Muy Alta",'Mapa final'!$AD$63="Mayor"),CONCATENATE("R9C",'Mapa final'!$R$63),"")</f>
        <v/>
      </c>
      <c r="AG14" s="53" t="str">
        <f>IF(AND('Mapa final'!$AB$64="Muy Alta",'Mapa final'!$AD$64="Mayor"),CONCATENATE("R9C",'Mapa final'!$R$64),"")</f>
        <v/>
      </c>
      <c r="AH14" s="54" t="str">
        <f ca="1">IF(AND('Mapa final'!$AB$59="Muy Alta",'Mapa final'!$AD$59="Catastrófico"),CONCATENATE("R9C",'Mapa final'!$R$59),"")</f>
        <v/>
      </c>
      <c r="AI14" s="55" t="str">
        <f>IF(AND('Mapa final'!$AB$60="Muy Alta",'Mapa final'!$AD$60="Catastrófico"),CONCATENATE("R9C",'Mapa final'!$R$60),"")</f>
        <v/>
      </c>
      <c r="AJ14" s="55" t="str">
        <f>IF(AND('Mapa final'!$AB$61="Muy Alta",'Mapa final'!$AD$61="Catastrófico"),CONCATENATE("R9C",'Mapa final'!$R$61),"")</f>
        <v/>
      </c>
      <c r="AK14" s="55" t="str">
        <f>IF(AND('Mapa final'!$AB$62="Muy Alta",'Mapa final'!$AD$62="Catastrófico"),CONCATENATE("R9C",'Mapa final'!$R$62),"")</f>
        <v/>
      </c>
      <c r="AL14" s="55" t="str">
        <f>IF(AND('Mapa final'!$AB$63="Muy Alta",'Mapa final'!$AD$63="Catastrófico"),CONCATENATE("R9C",'Mapa final'!$R$63),"")</f>
        <v/>
      </c>
      <c r="AM14" s="56" t="str">
        <f>IF(AND('Mapa final'!$AB$64="Muy Alta",'Mapa final'!$AD$64="Catastrófico"),CONCATENATE("R9C",'Mapa final'!$R$64),"")</f>
        <v/>
      </c>
      <c r="AN14" s="83"/>
      <c r="AO14" s="381"/>
      <c r="AP14" s="382"/>
      <c r="AQ14" s="382"/>
      <c r="AR14" s="382"/>
      <c r="AS14" s="382"/>
      <c r="AT14" s="3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8" customHeight="1" thickBot="1" x14ac:dyDescent="0.35">
      <c r="A15" s="83"/>
      <c r="B15" s="319"/>
      <c r="C15" s="319"/>
      <c r="D15" s="320"/>
      <c r="E15" s="363"/>
      <c r="F15" s="364"/>
      <c r="G15" s="364"/>
      <c r="H15" s="364"/>
      <c r="I15" s="365"/>
      <c r="J15" s="58" t="str">
        <f>IF(AND('Mapa final'!$AB$65="Muy Alta",'Mapa final'!$AD$65="Leve"),CONCATENATE("R10C",'Mapa final'!$R$65),"")</f>
        <v/>
      </c>
      <c r="K15" s="59" t="str">
        <f>IF(AND('Mapa final'!$AB$66="Muy Alta",'Mapa final'!$AD$66="Leve"),CONCATENATE("R10C",'Mapa final'!$R$66),"")</f>
        <v/>
      </c>
      <c r="L15" s="59" t="str">
        <f>IF(AND('Mapa final'!$AB$67="Muy Alta",'Mapa final'!$AD$67="Leve"),CONCATENATE("R10C",'Mapa final'!$R$67),"")</f>
        <v/>
      </c>
      <c r="M15" s="59" t="str">
        <f>IF(AND('Mapa final'!$AB$68="Muy Alta",'Mapa final'!$AD$68="Leve"),CONCATENATE("R10C",'Mapa final'!$R$68),"")</f>
        <v/>
      </c>
      <c r="N15" s="59" t="str">
        <f>IF(AND('Mapa final'!$AB$69="Muy Alta",'Mapa final'!$AD$69="Leve"),CONCATENATE("R10C",'Mapa final'!$R$69),"")</f>
        <v/>
      </c>
      <c r="O15" s="60" t="str">
        <f>IF(AND('Mapa final'!$AB$70="Muy Alta",'Mapa final'!$AD$70="Leve"),CONCATENATE("R10C",'Mapa final'!$R$70),"")</f>
        <v/>
      </c>
      <c r="P15" s="51" t="str">
        <f>IF(AND('Mapa final'!$AB$65="Muy Alta",'Mapa final'!$AD$65="Menor"),CONCATENATE("R10C",'Mapa final'!$R$65),"")</f>
        <v/>
      </c>
      <c r="Q15" s="52" t="str">
        <f>IF(AND('Mapa final'!$AB$66="Muy Alta",'Mapa final'!$AD$66="Menor"),CONCATENATE("R10C",'Mapa final'!$R$66),"")</f>
        <v/>
      </c>
      <c r="R15" s="52" t="str">
        <f>IF(AND('Mapa final'!$AB$67="Muy Alta",'Mapa final'!$AD$67="Menor"),CONCATENATE("R10C",'Mapa final'!$R$67),"")</f>
        <v/>
      </c>
      <c r="S15" s="52" t="str">
        <f>IF(AND('Mapa final'!$AB$68="Muy Alta",'Mapa final'!$AD$68="Menor"),CONCATENATE("R10C",'Mapa final'!$R$68),"")</f>
        <v/>
      </c>
      <c r="T15" s="52" t="str">
        <f>IF(AND('Mapa final'!$AB$69="Muy Alta",'Mapa final'!$AD$69="Menor"),CONCATENATE("R10C",'Mapa final'!$R$69),"")</f>
        <v/>
      </c>
      <c r="U15" s="53" t="str">
        <f>IF(AND('Mapa final'!$AB$70="Muy Alta",'Mapa final'!$AD$70="Menor"),CONCATENATE("R10C",'Mapa final'!$R$70),"")</f>
        <v/>
      </c>
      <c r="V15" s="58" t="str">
        <f>IF(AND('Mapa final'!$AB$65="Muy Alta",'Mapa final'!$AD$65="Moderado"),CONCATENATE("R10C",'Mapa final'!$R$65),"")</f>
        <v/>
      </c>
      <c r="W15" s="59" t="str">
        <f>IF(AND('Mapa final'!$AB$66="Muy Alta",'Mapa final'!$AD$66="Moderado"),CONCATENATE("R10C",'Mapa final'!$R$66),"")</f>
        <v/>
      </c>
      <c r="X15" s="59" t="str">
        <f>IF(AND('Mapa final'!$AB$67="Muy Alta",'Mapa final'!$AD$67="Moderado"),CONCATENATE("R10C",'Mapa final'!$R$67),"")</f>
        <v/>
      </c>
      <c r="Y15" s="59" t="str">
        <f>IF(AND('Mapa final'!$AB$68="Muy Alta",'Mapa final'!$AD$68="Moderado"),CONCATENATE("R10C",'Mapa final'!$R$68),"")</f>
        <v/>
      </c>
      <c r="Z15" s="59" t="str">
        <f>IF(AND('Mapa final'!$AB$69="Muy Alta",'Mapa final'!$AD$69="Moderado"),CONCATENATE("R10C",'Mapa final'!$R$69),"")</f>
        <v/>
      </c>
      <c r="AA15" s="60" t="str">
        <f>IF(AND('Mapa final'!$AB$70="Muy Alta",'Mapa final'!$AD$70="Moderado"),CONCATENATE("R10C",'Mapa final'!$R$70),"")</f>
        <v/>
      </c>
      <c r="AB15" s="51" t="str">
        <f>IF(AND('Mapa final'!$AB$65="Muy Alta",'Mapa final'!$AD$65="Mayor"),CONCATENATE("R10C",'Mapa final'!$R$65),"")</f>
        <v/>
      </c>
      <c r="AC15" s="52" t="str">
        <f>IF(AND('Mapa final'!$AB$66="Muy Alta",'Mapa final'!$AD$66="Mayor"),CONCATENATE("R10C",'Mapa final'!$R$66),"")</f>
        <v/>
      </c>
      <c r="AD15" s="52" t="str">
        <f>IF(AND('Mapa final'!$AB$67="Muy Alta",'Mapa final'!$AD$67="Mayor"),CONCATENATE("R10C",'Mapa final'!$R$67),"")</f>
        <v/>
      </c>
      <c r="AE15" s="52" t="str">
        <f>IF(AND('Mapa final'!$AB$68="Muy Alta",'Mapa final'!$AD$68="Mayor"),CONCATENATE("R10C",'Mapa final'!$R$68),"")</f>
        <v/>
      </c>
      <c r="AF15" s="52" t="str">
        <f>IF(AND('Mapa final'!$AB$69="Muy Alta",'Mapa final'!$AD$69="Mayor"),CONCATENATE("R10C",'Mapa final'!$R$69),"")</f>
        <v/>
      </c>
      <c r="AG15" s="53" t="str">
        <f>IF(AND('Mapa final'!$AB$70="Muy Alta",'Mapa final'!$AD$70="Mayor"),CONCATENATE("R10C",'Mapa final'!$R$70),"")</f>
        <v/>
      </c>
      <c r="AH15" s="61" t="str">
        <f>IF(AND('Mapa final'!$AB$65="Muy Alta",'Mapa final'!$AD$65="Catastrófico"),CONCATENATE("R10C",'Mapa final'!$R$65),"")</f>
        <v/>
      </c>
      <c r="AI15" s="62" t="str">
        <f>IF(AND('Mapa final'!$AB$66="Muy Alta",'Mapa final'!$AD$66="Catastrófico"),CONCATENATE("R10C",'Mapa final'!$R$66),"")</f>
        <v/>
      </c>
      <c r="AJ15" s="62" t="str">
        <f>IF(AND('Mapa final'!$AB$67="Muy Alta",'Mapa final'!$AD$67="Catastrófico"),CONCATENATE("R10C",'Mapa final'!$R$67),"")</f>
        <v/>
      </c>
      <c r="AK15" s="62" t="str">
        <f>IF(AND('Mapa final'!$AB$68="Muy Alta",'Mapa final'!$AD$68="Catastrófico"),CONCATENATE("R10C",'Mapa final'!$R$68),"")</f>
        <v/>
      </c>
      <c r="AL15" s="62" t="str">
        <f>IF(AND('Mapa final'!$AB$69="Muy Alta",'Mapa final'!$AD$69="Catastrófico"),CONCATENATE("R10C",'Mapa final'!$R$69),"")</f>
        <v/>
      </c>
      <c r="AM15" s="63" t="str">
        <f>IF(AND('Mapa final'!$AB$70="Muy Alta",'Mapa final'!$AD$70="Catastrófico"),CONCATENATE("R10C",'Mapa final'!$R$70),"")</f>
        <v/>
      </c>
      <c r="AN15" s="83"/>
      <c r="AO15" s="384"/>
      <c r="AP15" s="385"/>
      <c r="AQ15" s="385"/>
      <c r="AR15" s="385"/>
      <c r="AS15" s="385"/>
      <c r="AT15" s="38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4.95" customHeight="1" x14ac:dyDescent="0.3">
      <c r="A16" s="83"/>
      <c r="B16" s="319"/>
      <c r="C16" s="319"/>
      <c r="D16" s="320"/>
      <c r="E16" s="357" t="s">
        <v>107</v>
      </c>
      <c r="F16" s="358"/>
      <c r="G16" s="358"/>
      <c r="H16" s="358"/>
      <c r="I16" s="358"/>
      <c r="J16" s="64" t="str">
        <f ca="1">IF(AND('Mapa final'!$AB$11="Alta",'Mapa final'!$AD$11="Leve"),CONCATENATE("R1C",'Mapa final'!$R$11),"")</f>
        <v/>
      </c>
      <c r="K16" s="65" t="str">
        <f ca="1">IF(AND('Mapa final'!$AB$12="Alta",'Mapa final'!$AD$12="Leve"),CONCATENATE("R1C",'Mapa final'!$R$12),"")</f>
        <v/>
      </c>
      <c r="L16" s="65" t="str">
        <f>IF(AND('Mapa final'!$AB$13="Alta",'Mapa final'!$AD$13="Leve"),CONCATENATE("R1C",'Mapa final'!$R$13),"")</f>
        <v/>
      </c>
      <c r="M16" s="65" t="str">
        <f>IF(AND('Mapa final'!$AB$14="Alta",'Mapa final'!$AD$14="Leve"),CONCATENATE("R1C",'Mapa final'!$R$14),"")</f>
        <v/>
      </c>
      <c r="N16" s="65" t="str">
        <f>IF(AND('Mapa final'!$AB$15="Alta",'Mapa final'!$AD$15="Leve"),CONCATENATE("R1C",'Mapa final'!$R$15),"")</f>
        <v/>
      </c>
      <c r="O16" s="66" t="str">
        <f>IF(AND('Mapa final'!$AB$16="Alta",'Mapa final'!$AD$16="Leve"),CONCATENATE("R1C",'Mapa final'!$R$16),"")</f>
        <v/>
      </c>
      <c r="P16" s="64" t="str">
        <f ca="1">IF(AND('Mapa final'!$AB$11="Alta",'Mapa final'!$AD$11="Menor"),CONCATENATE("R1C",'Mapa final'!$R$11),"")</f>
        <v/>
      </c>
      <c r="Q16" s="65" t="str">
        <f ca="1">IF(AND('Mapa final'!$AB$12="Alta",'Mapa final'!$AD$12="Menor"),CONCATENATE("R1C",'Mapa final'!$R$12),"")</f>
        <v/>
      </c>
      <c r="R16" s="65" t="str">
        <f>IF(AND('Mapa final'!$AB$13="Alta",'Mapa final'!$AD$13="Menor"),CONCATENATE("R1C",'Mapa final'!$R$13),"")</f>
        <v/>
      </c>
      <c r="S16" s="65" t="str">
        <f>IF(AND('Mapa final'!$AB$14="Alta",'Mapa final'!$AD$14="Menor"),CONCATENATE("R1C",'Mapa final'!$R$14),"")</f>
        <v/>
      </c>
      <c r="T16" s="65" t="str">
        <f>IF(AND('Mapa final'!$AB$15="Alta",'Mapa final'!$AD$15="Menor"),CONCATENATE("R1C",'Mapa final'!$R$15),"")</f>
        <v/>
      </c>
      <c r="U16" s="66" t="str">
        <f>IF(AND('Mapa final'!$AB$16="Alta",'Mapa final'!$AD$16="Menor"),CONCATENATE("R1C",'Mapa final'!$R$16),"")</f>
        <v/>
      </c>
      <c r="V16" s="45" t="str">
        <f ca="1">IF(AND('Mapa final'!$AB$11="Alta",'Mapa final'!$AD$11="Moderado"),CONCATENATE("R1C",'Mapa final'!$R$11),"")</f>
        <v/>
      </c>
      <c r="W16" s="46" t="str">
        <f ca="1">IF(AND('Mapa final'!$AB$12="Alta",'Mapa final'!$AD$12="Moderado"),CONCATENATE("R1C",'Mapa final'!$R$12),"")</f>
        <v/>
      </c>
      <c r="X16" s="46" t="str">
        <f>IF(AND('Mapa final'!$AB$13="Alta",'Mapa final'!$AD$13="Moderado"),CONCATENATE("R1C",'Mapa final'!$R$13),"")</f>
        <v/>
      </c>
      <c r="Y16" s="46" t="str">
        <f>IF(AND('Mapa final'!$AB$14="Alta",'Mapa final'!$AD$14="Moderado"),CONCATENATE("R1C",'Mapa final'!$R$14),"")</f>
        <v/>
      </c>
      <c r="Z16" s="46" t="str">
        <f>IF(AND('Mapa final'!$AB$15="Alta",'Mapa final'!$AD$15="Moderado"),CONCATENATE("R1C",'Mapa final'!$R$15),"")</f>
        <v/>
      </c>
      <c r="AA16" s="47" t="str">
        <f>IF(AND('Mapa final'!$AB$16="Alta",'Mapa final'!$AD$16="Moderado"),CONCATENATE("R1C",'Mapa final'!$R$16),"")</f>
        <v/>
      </c>
      <c r="AB16" s="45" t="str">
        <f ca="1">IF(AND('Mapa final'!$AB$11="Alta",'Mapa final'!$AD$11="Mayor"),CONCATENATE("R1C",'Mapa final'!$R$11),"")</f>
        <v/>
      </c>
      <c r="AC16" s="46" t="str">
        <f ca="1">IF(AND('Mapa final'!$AB$12="Alta",'Mapa final'!$AD$12="Mayor"),CONCATENATE("R1C",'Mapa final'!$R$12),"")</f>
        <v/>
      </c>
      <c r="AD16" s="46" t="str">
        <f>IF(AND('Mapa final'!$AB$13="Alta",'Mapa final'!$AD$13="Mayor"),CONCATENATE("R1C",'Mapa final'!$R$13),"")</f>
        <v/>
      </c>
      <c r="AE16" s="46" t="str">
        <f>IF(AND('Mapa final'!$AB$14="Alta",'Mapa final'!$AD$14="Mayor"),CONCATENATE("R1C",'Mapa final'!$R$14),"")</f>
        <v/>
      </c>
      <c r="AF16" s="46" t="str">
        <f>IF(AND('Mapa final'!$AB$15="Alta",'Mapa final'!$AD$15="Mayor"),CONCATENATE("R1C",'Mapa final'!$R$15),"")</f>
        <v/>
      </c>
      <c r="AG16" s="47" t="str">
        <f>IF(AND('Mapa final'!$AB$16="Alta",'Mapa final'!$AD$16="Mayor"),CONCATENATE("R1C",'Mapa final'!$R$16),"")</f>
        <v/>
      </c>
      <c r="AH16" s="48" t="str">
        <f ca="1">IF(AND('Mapa final'!$AB$11="Alta",'Mapa final'!$AD$11="Catastrófico"),CONCATENATE("R1C",'Mapa final'!$R$11),"")</f>
        <v/>
      </c>
      <c r="AI16" s="49" t="str">
        <f ca="1">IF(AND('Mapa final'!$AB$12="Alta",'Mapa final'!$AD$12="Catastrófico"),CONCATENATE("R1C",'Mapa final'!$R$12),"")</f>
        <v/>
      </c>
      <c r="AJ16" s="49" t="str">
        <f>IF(AND('Mapa final'!$AB$13="Alta",'Mapa final'!$AD$13="Catastrófico"),CONCATENATE("R1C",'Mapa final'!$R$13),"")</f>
        <v/>
      </c>
      <c r="AK16" s="49" t="str">
        <f>IF(AND('Mapa final'!$AB$14="Alta",'Mapa final'!$AD$14="Catastrófico"),CONCATENATE("R1C",'Mapa final'!$R$14),"")</f>
        <v/>
      </c>
      <c r="AL16" s="49" t="str">
        <f>IF(AND('Mapa final'!$AB$15="Alta",'Mapa final'!$AD$15="Catastrófico"),CONCATENATE("R1C",'Mapa final'!$R$15),"")</f>
        <v/>
      </c>
      <c r="AM16" s="50" t="str">
        <f>IF(AND('Mapa final'!$AB$16="Alta",'Mapa final'!$AD$16="Catastrófico"),CONCATENATE("R1C",'Mapa final'!$R$16),"")</f>
        <v/>
      </c>
      <c r="AN16" s="83"/>
      <c r="AO16" s="367" t="s">
        <v>77</v>
      </c>
      <c r="AP16" s="368"/>
      <c r="AQ16" s="368"/>
      <c r="AR16" s="368"/>
      <c r="AS16" s="368"/>
      <c r="AT16" s="369"/>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4.95" customHeight="1" x14ac:dyDescent="0.3">
      <c r="A17" s="83"/>
      <c r="B17" s="319"/>
      <c r="C17" s="319"/>
      <c r="D17" s="320"/>
      <c r="E17" s="376"/>
      <c r="F17" s="377"/>
      <c r="G17" s="377"/>
      <c r="H17" s="377"/>
      <c r="I17" s="377"/>
      <c r="J17" s="67" t="str">
        <f ca="1">IF(AND('Mapa final'!$AB$17="Alta",'Mapa final'!$AD$17="Leve"),CONCATENATE("R2C",'Mapa final'!$R$17),"")</f>
        <v/>
      </c>
      <c r="K17" s="68" t="str">
        <f>IF(AND('Mapa final'!$AB$18="Alta",'Mapa final'!$AD$18="Leve"),CONCATENATE("R2C",'Mapa final'!$R$18),"")</f>
        <v/>
      </c>
      <c r="L17" s="68" t="str">
        <f>IF(AND('Mapa final'!$AB$19="Alta",'Mapa final'!$AD$19="Leve"),CONCATENATE("R2C",'Mapa final'!$R$19),"")</f>
        <v/>
      </c>
      <c r="M17" s="68" t="str">
        <f>IF(AND('Mapa final'!$AB$20="Alta",'Mapa final'!$AD$20="Leve"),CONCATENATE("R2C",'Mapa final'!$R$20),"")</f>
        <v/>
      </c>
      <c r="N17" s="68" t="str">
        <f>IF(AND('Mapa final'!$AB$21="Alta",'Mapa final'!$AD$21="Leve"),CONCATENATE("R2C",'Mapa final'!$R$21),"")</f>
        <v/>
      </c>
      <c r="O17" s="69" t="str">
        <f>IF(AND('Mapa final'!$AB$22="Alta",'Mapa final'!$AD$22="Leve"),CONCATENATE("R2C",'Mapa final'!$R$22),"")</f>
        <v/>
      </c>
      <c r="P17" s="67" t="str">
        <f ca="1">IF(AND('Mapa final'!$AB$17="Alta",'Mapa final'!$AD$17="Menor"),CONCATENATE("R2C",'Mapa final'!$R$17),"")</f>
        <v/>
      </c>
      <c r="Q17" s="68" t="str">
        <f>IF(AND('Mapa final'!$AB$18="Alta",'Mapa final'!$AD$18="Menor"),CONCATENATE("R2C",'Mapa final'!$R$18),"")</f>
        <v/>
      </c>
      <c r="R17" s="68" t="str">
        <f>IF(AND('Mapa final'!$AB$19="Alta",'Mapa final'!$AD$19="Menor"),CONCATENATE("R2C",'Mapa final'!$R$19),"")</f>
        <v/>
      </c>
      <c r="S17" s="68" t="str">
        <f>IF(AND('Mapa final'!$AB$20="Alta",'Mapa final'!$AD$20="Menor"),CONCATENATE("R2C",'Mapa final'!$R$20),"")</f>
        <v/>
      </c>
      <c r="T17" s="68" t="str">
        <f>IF(AND('Mapa final'!$AB$21="Alta",'Mapa final'!$AD$21="Menor"),CONCATENATE("R2C",'Mapa final'!$R$21),"")</f>
        <v/>
      </c>
      <c r="U17" s="69" t="str">
        <f>IF(AND('Mapa final'!$AB$22="Alta",'Mapa final'!$AD$22="Menor"),CONCATENATE("R2C",'Mapa final'!$R$22),"")</f>
        <v/>
      </c>
      <c r="V17" s="51" t="str">
        <f ca="1">IF(AND('Mapa final'!$AB$17="Alta",'Mapa final'!$AD$17="Moderado"),CONCATENATE("R2C",'Mapa final'!$R$17),"")</f>
        <v/>
      </c>
      <c r="W17" s="52" t="str">
        <f>IF(AND('Mapa final'!$AB$18="Alta",'Mapa final'!$AD$18="Moderado"),CONCATENATE("R2C",'Mapa final'!$R$18),"")</f>
        <v/>
      </c>
      <c r="X17" s="52" t="str">
        <f>IF(AND('Mapa final'!$AB$19="Alta",'Mapa final'!$AD$19="Moderado"),CONCATENATE("R2C",'Mapa final'!$R$19),"")</f>
        <v/>
      </c>
      <c r="Y17" s="52" t="str">
        <f>IF(AND('Mapa final'!$AB$20="Alta",'Mapa final'!$AD$20="Moderado"),CONCATENATE("R2C",'Mapa final'!$R$20),"")</f>
        <v/>
      </c>
      <c r="Z17" s="52" t="str">
        <f>IF(AND('Mapa final'!$AB$21="Alta",'Mapa final'!$AD$21="Moderado"),CONCATENATE("R2C",'Mapa final'!$R$21),"")</f>
        <v/>
      </c>
      <c r="AA17" s="53" t="str">
        <f>IF(AND('Mapa final'!$AB$22="Alta",'Mapa final'!$AD$22="Moderado"),CONCATENATE("R2C",'Mapa final'!$R$22),"")</f>
        <v/>
      </c>
      <c r="AB17" s="51" t="str">
        <f ca="1">IF(AND('Mapa final'!$AB$17="Alta",'Mapa final'!$AD$17="Mayor"),CONCATENATE("R2C",'Mapa final'!$R$17),"")</f>
        <v/>
      </c>
      <c r="AC17" s="52" t="str">
        <f>IF(AND('Mapa final'!$AB$18="Alta",'Mapa final'!$AD$18="Mayor"),CONCATENATE("R2C",'Mapa final'!$R$18),"")</f>
        <v/>
      </c>
      <c r="AD17" s="52" t="str">
        <f>IF(AND('Mapa final'!$AB$19="Alta",'Mapa final'!$AD$19="Mayor"),CONCATENATE("R2C",'Mapa final'!$R$19),"")</f>
        <v/>
      </c>
      <c r="AE17" s="52" t="str">
        <f>IF(AND('Mapa final'!$AB$20="Alta",'Mapa final'!$AD$20="Mayor"),CONCATENATE("R2C",'Mapa final'!$R$20),"")</f>
        <v/>
      </c>
      <c r="AF17" s="52" t="str">
        <f>IF(AND('Mapa final'!$AB$21="Alta",'Mapa final'!$AD$21="Mayor"),CONCATENATE("R2C",'Mapa final'!$R$21),"")</f>
        <v/>
      </c>
      <c r="AG17" s="53" t="str">
        <f>IF(AND('Mapa final'!$AB$22="Alta",'Mapa final'!$AD$22="Mayor"),CONCATENATE("R2C",'Mapa final'!$R$22),"")</f>
        <v/>
      </c>
      <c r="AH17" s="54" t="str">
        <f ca="1">IF(AND('Mapa final'!$AB$17="Alta",'Mapa final'!$AD$17="Catastrófico"),CONCATENATE("R2C",'Mapa final'!$R$17),"")</f>
        <v/>
      </c>
      <c r="AI17" s="55" t="str">
        <f>IF(AND('Mapa final'!$AB$18="Alta",'Mapa final'!$AD$18="Catastrófico"),CONCATENATE("R2C",'Mapa final'!$R$18),"")</f>
        <v/>
      </c>
      <c r="AJ17" s="55" t="str">
        <f>IF(AND('Mapa final'!$AB$19="Alta",'Mapa final'!$AD$19="Catastrófico"),CONCATENATE("R2C",'Mapa final'!$R$19),"")</f>
        <v/>
      </c>
      <c r="AK17" s="55" t="str">
        <f>IF(AND('Mapa final'!$AB$20="Alta",'Mapa final'!$AD$20="Catastrófico"),CONCATENATE("R2C",'Mapa final'!$R$20),"")</f>
        <v/>
      </c>
      <c r="AL17" s="55" t="str">
        <f>IF(AND('Mapa final'!$AB$21="Alta",'Mapa final'!$AD$21="Catastrófico"),CONCATENATE("R2C",'Mapa final'!$R$21),"")</f>
        <v/>
      </c>
      <c r="AM17" s="56" t="str">
        <f>IF(AND('Mapa final'!$AB$22="Alta",'Mapa final'!$AD$22="Catastrófico"),CONCATENATE("R2C",'Mapa final'!$R$22),"")</f>
        <v/>
      </c>
      <c r="AN17" s="83"/>
      <c r="AO17" s="370"/>
      <c r="AP17" s="371"/>
      <c r="AQ17" s="371"/>
      <c r="AR17" s="371"/>
      <c r="AS17" s="371"/>
      <c r="AT17" s="37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4.95" customHeight="1" x14ac:dyDescent="0.3">
      <c r="A18" s="83"/>
      <c r="B18" s="319"/>
      <c r="C18" s="319"/>
      <c r="D18" s="320"/>
      <c r="E18" s="360"/>
      <c r="F18" s="361"/>
      <c r="G18" s="361"/>
      <c r="H18" s="361"/>
      <c r="I18" s="377"/>
      <c r="J18" s="67" t="str">
        <f ca="1">IF(AND('Mapa final'!$AB$23="Alta",'Mapa final'!$AD$23="Leve"),CONCATENATE("R3C",'Mapa final'!$R$23),"")</f>
        <v/>
      </c>
      <c r="K18" s="68" t="str">
        <f ca="1">IF(AND('Mapa final'!$AB$24="Alta",'Mapa final'!$AD$24="Leve"),CONCATENATE("R3C",'Mapa final'!$R$24),"")</f>
        <v/>
      </c>
      <c r="L18" s="68" t="str">
        <f>IF(AND('Mapa final'!$AB$25="Alta",'Mapa final'!$AD$25="Leve"),CONCATENATE("R3C",'Mapa final'!$R$25),"")</f>
        <v/>
      </c>
      <c r="M18" s="68" t="str">
        <f>IF(AND('Mapa final'!$AB$26="Alta",'Mapa final'!$AD$26="Leve"),CONCATENATE("R3C",'Mapa final'!$R$26),"")</f>
        <v/>
      </c>
      <c r="N18" s="68" t="str">
        <f>IF(AND('Mapa final'!$AB$27="Alta",'Mapa final'!$AD$27="Leve"),CONCATENATE("R3C",'Mapa final'!$R$27),"")</f>
        <v/>
      </c>
      <c r="O18" s="69" t="str">
        <f>IF(AND('Mapa final'!$AB$28="Alta",'Mapa final'!$AD$28="Leve"),CONCATENATE("R3C",'Mapa final'!$R$28),"")</f>
        <v/>
      </c>
      <c r="P18" s="67" t="str">
        <f ca="1">IF(AND('Mapa final'!$AB$23="Alta",'Mapa final'!$AD$23="Menor"),CONCATENATE("R3C",'Mapa final'!$R$23),"")</f>
        <v/>
      </c>
      <c r="Q18" s="68" t="str">
        <f ca="1">IF(AND('Mapa final'!$AB$24="Alta",'Mapa final'!$AD$24="Menor"),CONCATENATE("R3C",'Mapa final'!$R$24),"")</f>
        <v/>
      </c>
      <c r="R18" s="68" t="str">
        <f>IF(AND('Mapa final'!$AB$25="Alta",'Mapa final'!$AD$25="Menor"),CONCATENATE("R3C",'Mapa final'!$R$25),"")</f>
        <v/>
      </c>
      <c r="S18" s="68" t="str">
        <f>IF(AND('Mapa final'!$AB$26="Alta",'Mapa final'!$AD$26="Menor"),CONCATENATE("R3C",'Mapa final'!$R$26),"")</f>
        <v/>
      </c>
      <c r="T18" s="68" t="str">
        <f>IF(AND('Mapa final'!$AB$27="Alta",'Mapa final'!$AD$27="Menor"),CONCATENATE("R3C",'Mapa final'!$R$27),"")</f>
        <v/>
      </c>
      <c r="U18" s="69" t="str">
        <f>IF(AND('Mapa final'!$AB$28="Alta",'Mapa final'!$AD$28="Menor"),CONCATENATE("R3C",'Mapa final'!$R$28),"")</f>
        <v/>
      </c>
      <c r="V18" s="51" t="str">
        <f ca="1">IF(AND('Mapa final'!$AB$23="Alta",'Mapa final'!$AD$23="Moderado"),CONCATENATE("R3C",'Mapa final'!$R$23),"")</f>
        <v/>
      </c>
      <c r="W18" s="52" t="str">
        <f ca="1">IF(AND('Mapa final'!$AB$24="Alta",'Mapa final'!$AD$24="Moderado"),CONCATENATE("R3C",'Mapa final'!$R$24),"")</f>
        <v/>
      </c>
      <c r="X18" s="52" t="str">
        <f>IF(AND('Mapa final'!$AB$25="Alta",'Mapa final'!$AD$25="Moderado"),CONCATENATE("R3C",'Mapa final'!$R$25),"")</f>
        <v/>
      </c>
      <c r="Y18" s="52" t="str">
        <f>IF(AND('Mapa final'!$AB$26="Alta",'Mapa final'!$AD$26="Moderado"),CONCATENATE("R3C",'Mapa final'!$R$26),"")</f>
        <v/>
      </c>
      <c r="Z18" s="52" t="str">
        <f>IF(AND('Mapa final'!$AB$27="Alta",'Mapa final'!$AD$27="Moderado"),CONCATENATE("R3C",'Mapa final'!$R$27),"")</f>
        <v/>
      </c>
      <c r="AA18" s="53" t="str">
        <f>IF(AND('Mapa final'!$AB$28="Alta",'Mapa final'!$AD$28="Moderado"),CONCATENATE("R3C",'Mapa final'!$R$28),"")</f>
        <v/>
      </c>
      <c r="AB18" s="51" t="str">
        <f ca="1">IF(AND('Mapa final'!$AB$23="Alta",'Mapa final'!$AD$23="Mayor"),CONCATENATE("R3C",'Mapa final'!$R$23),"")</f>
        <v/>
      </c>
      <c r="AC18" s="52" t="str">
        <f ca="1">IF(AND('Mapa final'!$AB$24="Alta",'Mapa final'!$AD$24="Mayor"),CONCATENATE("R3C",'Mapa final'!$R$24),"")</f>
        <v/>
      </c>
      <c r="AD18" s="52" t="str">
        <f>IF(AND('Mapa final'!$AB$25="Alta",'Mapa final'!$AD$25="Mayor"),CONCATENATE("R3C",'Mapa final'!$R$25),"")</f>
        <v/>
      </c>
      <c r="AE18" s="52" t="str">
        <f>IF(AND('Mapa final'!$AB$26="Alta",'Mapa final'!$AD$26="Mayor"),CONCATENATE("R3C",'Mapa final'!$R$26),"")</f>
        <v/>
      </c>
      <c r="AF18" s="52" t="str">
        <f>IF(AND('Mapa final'!$AB$27="Alta",'Mapa final'!$AD$27="Mayor"),CONCATENATE("R3C",'Mapa final'!$R$27),"")</f>
        <v/>
      </c>
      <c r="AG18" s="53" t="str">
        <f>IF(AND('Mapa final'!$AB$28="Alta",'Mapa final'!$AD$28="Mayor"),CONCATENATE("R3C",'Mapa final'!$R$28),"")</f>
        <v/>
      </c>
      <c r="AH18" s="54" t="str">
        <f ca="1">IF(AND('Mapa final'!$AB$23="Alta",'Mapa final'!$AD$23="Catastrófico"),CONCATENATE("R3C",'Mapa final'!$R$23),"")</f>
        <v/>
      </c>
      <c r="AI18" s="55" t="str">
        <f ca="1">IF(AND('Mapa final'!$AB$24="Alta",'Mapa final'!$AD$24="Catastrófico"),CONCATENATE("R3C",'Mapa final'!$R$24),"")</f>
        <v/>
      </c>
      <c r="AJ18" s="55" t="str">
        <f>IF(AND('Mapa final'!$AB$25="Alta",'Mapa final'!$AD$25="Catastrófico"),CONCATENATE("R3C",'Mapa final'!$R$25),"")</f>
        <v/>
      </c>
      <c r="AK18" s="55" t="str">
        <f>IF(AND('Mapa final'!$AB$26="Alta",'Mapa final'!$AD$26="Catastrófico"),CONCATENATE("R3C",'Mapa final'!$R$26),"")</f>
        <v/>
      </c>
      <c r="AL18" s="55" t="str">
        <f>IF(AND('Mapa final'!$AB$27="Alta",'Mapa final'!$AD$27="Catastrófico"),CONCATENATE("R3C",'Mapa final'!$R$27),"")</f>
        <v/>
      </c>
      <c r="AM18" s="56" t="str">
        <f>IF(AND('Mapa final'!$AB$28="Alta",'Mapa final'!$AD$28="Catastrófico"),CONCATENATE("R3C",'Mapa final'!$R$28),"")</f>
        <v/>
      </c>
      <c r="AN18" s="83"/>
      <c r="AO18" s="370"/>
      <c r="AP18" s="371"/>
      <c r="AQ18" s="371"/>
      <c r="AR18" s="371"/>
      <c r="AS18" s="371"/>
      <c r="AT18" s="37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4.95" customHeight="1" x14ac:dyDescent="0.3">
      <c r="A19" s="83"/>
      <c r="B19" s="319"/>
      <c r="C19" s="319"/>
      <c r="D19" s="320"/>
      <c r="E19" s="360"/>
      <c r="F19" s="361"/>
      <c r="G19" s="361"/>
      <c r="H19" s="361"/>
      <c r="I19" s="377"/>
      <c r="J19" s="67" t="str">
        <f ca="1">IF(AND('Mapa final'!$AB$29="Alta",'Mapa final'!$AD$29="Leve"),CONCATENATE("R4C",'Mapa final'!$R$29),"")</f>
        <v/>
      </c>
      <c r="K19" s="68" t="str">
        <f>IF(AND('Mapa final'!$AB$30="Alta",'Mapa final'!$AD$30="Leve"),CONCATENATE("R4C",'Mapa final'!$R$30),"")</f>
        <v/>
      </c>
      <c r="L19" s="68" t="str">
        <f>IF(AND('Mapa final'!$AB$31="Alta",'Mapa final'!$AD$31="Leve"),CONCATENATE("R4C",'Mapa final'!$R$31),"")</f>
        <v/>
      </c>
      <c r="M19" s="68" t="str">
        <f>IF(AND('Mapa final'!$AB$32="Alta",'Mapa final'!$AD$32="Leve"),CONCATENATE("R4C",'Mapa final'!$R$32),"")</f>
        <v/>
      </c>
      <c r="N19" s="68" t="str">
        <f>IF(AND('Mapa final'!$AB$33="Alta",'Mapa final'!$AD$33="Leve"),CONCATENATE("R4C",'Mapa final'!$R$33),"")</f>
        <v/>
      </c>
      <c r="O19" s="69" t="str">
        <f>IF(AND('Mapa final'!$AB$34="Alta",'Mapa final'!$AD$34="Leve"),CONCATENATE("R4C",'Mapa final'!$R$34),"")</f>
        <v/>
      </c>
      <c r="P19" s="67" t="str">
        <f ca="1">IF(AND('Mapa final'!$AB$29="Alta",'Mapa final'!$AD$29="Menor"),CONCATENATE("R4C",'Mapa final'!$R$29),"")</f>
        <v/>
      </c>
      <c r="Q19" s="68" t="str">
        <f>IF(AND('Mapa final'!$AB$30="Alta",'Mapa final'!$AD$30="Menor"),CONCATENATE("R4C",'Mapa final'!$R$30),"")</f>
        <v/>
      </c>
      <c r="R19" s="68" t="str">
        <f>IF(AND('Mapa final'!$AB$31="Alta",'Mapa final'!$AD$31="Menor"),CONCATENATE("R4C",'Mapa final'!$R$31),"")</f>
        <v/>
      </c>
      <c r="S19" s="68" t="str">
        <f>IF(AND('Mapa final'!$AB$32="Alta",'Mapa final'!$AD$32="Menor"),CONCATENATE("R4C",'Mapa final'!$R$32),"")</f>
        <v/>
      </c>
      <c r="T19" s="68" t="str">
        <f>IF(AND('Mapa final'!$AB$33="Alta",'Mapa final'!$AD$33="Menor"),CONCATENATE("R4C",'Mapa final'!$R$33),"")</f>
        <v/>
      </c>
      <c r="U19" s="69" t="str">
        <f>IF(AND('Mapa final'!$AB$34="Alta",'Mapa final'!$AD$34="Menor"),CONCATENATE("R4C",'Mapa final'!$R$34),"")</f>
        <v/>
      </c>
      <c r="V19" s="51" t="str">
        <f ca="1">IF(AND('Mapa final'!$AB$29="Alta",'Mapa final'!$AD$29="Moderado"),CONCATENATE("R4C",'Mapa final'!$R$29),"")</f>
        <v/>
      </c>
      <c r="W19" s="52" t="str">
        <f>IF(AND('Mapa final'!$AB$30="Alta",'Mapa final'!$AD$30="Moderado"),CONCATENATE("R4C",'Mapa final'!$R$30),"")</f>
        <v/>
      </c>
      <c r="X19" s="57" t="str">
        <f>IF(AND('Mapa final'!$AB$31="Alta",'Mapa final'!$AD$31="Moderado"),CONCATENATE("R4C",'Mapa final'!$R$31),"")</f>
        <v/>
      </c>
      <c r="Y19" s="57" t="str">
        <f>IF(AND('Mapa final'!$AB$32="Alta",'Mapa final'!$AD$32="Moderado"),CONCATENATE("R4C",'Mapa final'!$R$32),"")</f>
        <v/>
      </c>
      <c r="Z19" s="57" t="str">
        <f>IF(AND('Mapa final'!$AB$33="Alta",'Mapa final'!$AD$33="Moderado"),CONCATENATE("R4C",'Mapa final'!$R$33),"")</f>
        <v/>
      </c>
      <c r="AA19" s="53" t="str">
        <f>IF(AND('Mapa final'!$AB$34="Alta",'Mapa final'!$AD$34="Moderado"),CONCATENATE("R4C",'Mapa final'!$R$34),"")</f>
        <v/>
      </c>
      <c r="AB19" s="51" t="str">
        <f ca="1">IF(AND('Mapa final'!$AB$29="Alta",'Mapa final'!$AD$29="Mayor"),CONCATENATE("R4C",'Mapa final'!$R$29),"")</f>
        <v/>
      </c>
      <c r="AC19" s="52" t="str">
        <f>IF(AND('Mapa final'!$AB$30="Alta",'Mapa final'!$AD$30="Mayor"),CONCATENATE("R4C",'Mapa final'!$R$30),"")</f>
        <v/>
      </c>
      <c r="AD19" s="57" t="str">
        <f>IF(AND('Mapa final'!$AB$31="Alta",'Mapa final'!$AD$31="Mayor"),CONCATENATE("R4C",'Mapa final'!$R$31),"")</f>
        <v/>
      </c>
      <c r="AE19" s="57" t="str">
        <f>IF(AND('Mapa final'!$AB$32="Alta",'Mapa final'!$AD$32="Mayor"),CONCATENATE("R4C",'Mapa final'!$R$32),"")</f>
        <v/>
      </c>
      <c r="AF19" s="57" t="str">
        <f>IF(AND('Mapa final'!$AB$33="Alta",'Mapa final'!$AD$33="Mayor"),CONCATENATE("R4C",'Mapa final'!$R$33),"")</f>
        <v/>
      </c>
      <c r="AG19" s="53" t="str">
        <f>IF(AND('Mapa final'!$AB$34="Alta",'Mapa final'!$AD$34="Mayor"),CONCATENATE("R4C",'Mapa final'!$R$34),"")</f>
        <v/>
      </c>
      <c r="AH19" s="54" t="str">
        <f ca="1">IF(AND('Mapa final'!$AB$29="Alta",'Mapa final'!$AD$29="Catastrófico"),CONCATENATE("R4C",'Mapa final'!$R$29),"")</f>
        <v/>
      </c>
      <c r="AI19" s="55" t="str">
        <f>IF(AND('Mapa final'!$AB$30="Alta",'Mapa final'!$AD$30="Catastrófico"),CONCATENATE("R4C",'Mapa final'!$R$30),"")</f>
        <v/>
      </c>
      <c r="AJ19" s="55" t="str">
        <f>IF(AND('Mapa final'!$AB$31="Alta",'Mapa final'!$AD$31="Catastrófico"),CONCATENATE("R4C",'Mapa final'!$R$31),"")</f>
        <v/>
      </c>
      <c r="AK19" s="55" t="str">
        <f>IF(AND('Mapa final'!$AB$32="Alta",'Mapa final'!$AD$32="Catastrófico"),CONCATENATE("R4C",'Mapa final'!$R$32),"")</f>
        <v/>
      </c>
      <c r="AL19" s="55" t="str">
        <f>IF(AND('Mapa final'!$AB$33="Alta",'Mapa final'!$AD$33="Catastrófico"),CONCATENATE("R4C",'Mapa final'!$R$33),"")</f>
        <v/>
      </c>
      <c r="AM19" s="56" t="str">
        <f>IF(AND('Mapa final'!$AB$34="Alta",'Mapa final'!$AD$34="Catastrófico"),CONCATENATE("R4C",'Mapa final'!$R$34),"")</f>
        <v/>
      </c>
      <c r="AN19" s="83"/>
      <c r="AO19" s="370"/>
      <c r="AP19" s="371"/>
      <c r="AQ19" s="371"/>
      <c r="AR19" s="371"/>
      <c r="AS19" s="371"/>
      <c r="AT19" s="37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4.95" customHeight="1" x14ac:dyDescent="0.3">
      <c r="A20" s="83"/>
      <c r="B20" s="319"/>
      <c r="C20" s="319"/>
      <c r="D20" s="320"/>
      <c r="E20" s="360"/>
      <c r="F20" s="361"/>
      <c r="G20" s="361"/>
      <c r="H20" s="361"/>
      <c r="I20" s="377"/>
      <c r="J20" s="67" t="str">
        <f ca="1">IF(AND('Mapa final'!$AB$35="Alta",'Mapa final'!$AD$35="Leve"),CONCATENATE("R5C",'Mapa final'!$R$35),"")</f>
        <v/>
      </c>
      <c r="K20" s="68" t="str">
        <f>IF(AND('Mapa final'!$AB$36="Alta",'Mapa final'!$AD$36="Leve"),CONCATENATE("R5C",'Mapa final'!$R$36),"")</f>
        <v/>
      </c>
      <c r="L20" s="68" t="str">
        <f>IF(AND('Mapa final'!$AB$37="Alta",'Mapa final'!$AD$37="Leve"),CONCATENATE("R5C",'Mapa final'!$R$37),"")</f>
        <v/>
      </c>
      <c r="M20" s="68" t="str">
        <f>IF(AND('Mapa final'!$AB$38="Alta",'Mapa final'!$AD$38="Leve"),CONCATENATE("R5C",'Mapa final'!$R$38),"")</f>
        <v/>
      </c>
      <c r="N20" s="68" t="str">
        <f>IF(AND('Mapa final'!$AB$39="Alta",'Mapa final'!$AD$39="Leve"),CONCATENATE("R5C",'Mapa final'!$R$39),"")</f>
        <v/>
      </c>
      <c r="O20" s="69" t="str">
        <f>IF(AND('Mapa final'!$AB$40="Alta",'Mapa final'!$AD$40="Leve"),CONCATENATE("R5C",'Mapa final'!$R$40),"")</f>
        <v/>
      </c>
      <c r="P20" s="67" t="str">
        <f ca="1">IF(AND('Mapa final'!$AB$35="Alta",'Mapa final'!$AD$35="Menor"),CONCATENATE("R5C",'Mapa final'!$R$35),"")</f>
        <v/>
      </c>
      <c r="Q20" s="68" t="str">
        <f>IF(AND('Mapa final'!$AB$36="Alta",'Mapa final'!$AD$36="Menor"),CONCATENATE("R5C",'Mapa final'!$R$36),"")</f>
        <v/>
      </c>
      <c r="R20" s="68" t="str">
        <f>IF(AND('Mapa final'!$AB$37="Alta",'Mapa final'!$AD$37="Menor"),CONCATENATE("R5C",'Mapa final'!$R$37),"")</f>
        <v/>
      </c>
      <c r="S20" s="68" t="str">
        <f>IF(AND('Mapa final'!$AB$38="Alta",'Mapa final'!$AD$38="Menor"),CONCATENATE("R5C",'Mapa final'!$R$38),"")</f>
        <v/>
      </c>
      <c r="T20" s="68" t="str">
        <f>IF(AND('Mapa final'!$AB$39="Alta",'Mapa final'!$AD$39="Menor"),CONCATENATE("R5C",'Mapa final'!$R$39),"")</f>
        <v/>
      </c>
      <c r="U20" s="69" t="str">
        <f>IF(AND('Mapa final'!$AB$40="Alta",'Mapa final'!$AD$40="Menor"),CONCATENATE("R5C",'Mapa final'!$R$40),"")</f>
        <v/>
      </c>
      <c r="V20" s="51" t="str">
        <f ca="1">IF(AND('Mapa final'!$AB$35="Alta",'Mapa final'!$AD$35="Moderado"),CONCATENATE("R5C",'Mapa final'!$R$35),"")</f>
        <v/>
      </c>
      <c r="W20" s="52" t="str">
        <f>IF(AND('Mapa final'!$AB$36="Alta",'Mapa final'!$AD$36="Moderado"),CONCATENATE("R5C",'Mapa final'!$R$36),"")</f>
        <v/>
      </c>
      <c r="X20" s="57" t="str">
        <f>IF(AND('Mapa final'!$AB$37="Alta",'Mapa final'!$AD$37="Moderado"),CONCATENATE("R5C",'Mapa final'!$R$37),"")</f>
        <v/>
      </c>
      <c r="Y20" s="57" t="str">
        <f>IF(AND('Mapa final'!$AB$38="Alta",'Mapa final'!$AD$38="Moderado"),CONCATENATE("R5C",'Mapa final'!$R$38),"")</f>
        <v/>
      </c>
      <c r="Z20" s="57" t="str">
        <f>IF(AND('Mapa final'!$AB$39="Alta",'Mapa final'!$AD$39="Moderado"),CONCATENATE("R5C",'Mapa final'!$R$39),"")</f>
        <v/>
      </c>
      <c r="AA20" s="53" t="str">
        <f>IF(AND('Mapa final'!$AB$40="Alta",'Mapa final'!$AD$40="Moderado"),CONCATENATE("R5C",'Mapa final'!$R$40),"")</f>
        <v/>
      </c>
      <c r="AB20" s="51" t="str">
        <f ca="1">IF(AND('Mapa final'!$AB$35="Alta",'Mapa final'!$AD$35="Mayor"),CONCATENATE("R5C",'Mapa final'!$R$35),"")</f>
        <v/>
      </c>
      <c r="AC20" s="52" t="str">
        <f>IF(AND('Mapa final'!$AB$36="Alta",'Mapa final'!$AD$36="Mayor"),CONCATENATE("R5C",'Mapa final'!$R$36),"")</f>
        <v/>
      </c>
      <c r="AD20" s="57" t="str">
        <f>IF(AND('Mapa final'!$AB$37="Alta",'Mapa final'!$AD$37="Mayor"),CONCATENATE("R5C",'Mapa final'!$R$37),"")</f>
        <v/>
      </c>
      <c r="AE20" s="57" t="str">
        <f>IF(AND('Mapa final'!$AB$38="Alta",'Mapa final'!$AD$38="Mayor"),CONCATENATE("R5C",'Mapa final'!$R$38),"")</f>
        <v/>
      </c>
      <c r="AF20" s="57" t="str">
        <f>IF(AND('Mapa final'!$AB$39="Alta",'Mapa final'!$AD$39="Mayor"),CONCATENATE("R5C",'Mapa final'!$R$39),"")</f>
        <v/>
      </c>
      <c r="AG20" s="53" t="str">
        <f>IF(AND('Mapa final'!$AB$40="Alta",'Mapa final'!$AD$40="Mayor"),CONCATENATE("R5C",'Mapa final'!$R$40),"")</f>
        <v/>
      </c>
      <c r="AH20" s="54" t="str">
        <f ca="1">IF(AND('Mapa final'!$AB$35="Alta",'Mapa final'!$AD$35="Catastrófico"),CONCATENATE("R5C",'Mapa final'!$R$35),"")</f>
        <v/>
      </c>
      <c r="AI20" s="55" t="str">
        <f>IF(AND('Mapa final'!$AB$36="Alta",'Mapa final'!$AD$36="Catastrófico"),CONCATENATE("R5C",'Mapa final'!$R$36),"")</f>
        <v/>
      </c>
      <c r="AJ20" s="55" t="str">
        <f>IF(AND('Mapa final'!$AB$37="Alta",'Mapa final'!$AD$37="Catastrófico"),CONCATENATE("R5C",'Mapa final'!$R$37),"")</f>
        <v/>
      </c>
      <c r="AK20" s="55" t="str">
        <f>IF(AND('Mapa final'!$AB$38="Alta",'Mapa final'!$AD$38="Catastrófico"),CONCATENATE("R5C",'Mapa final'!$R$38),"")</f>
        <v/>
      </c>
      <c r="AL20" s="55" t="str">
        <f>IF(AND('Mapa final'!$AB$39="Alta",'Mapa final'!$AD$39="Catastrófico"),CONCATENATE("R5C",'Mapa final'!$R$39),"")</f>
        <v/>
      </c>
      <c r="AM20" s="56" t="str">
        <f>IF(AND('Mapa final'!$AB$40="Alta",'Mapa final'!$AD$40="Catastrófico"),CONCATENATE("R5C",'Mapa final'!$R$40),"")</f>
        <v/>
      </c>
      <c r="AN20" s="83"/>
      <c r="AO20" s="370"/>
      <c r="AP20" s="371"/>
      <c r="AQ20" s="371"/>
      <c r="AR20" s="371"/>
      <c r="AS20" s="371"/>
      <c r="AT20" s="37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4.95" customHeight="1" x14ac:dyDescent="0.3">
      <c r="A21" s="83"/>
      <c r="B21" s="319"/>
      <c r="C21" s="319"/>
      <c r="D21" s="320"/>
      <c r="E21" s="360"/>
      <c r="F21" s="361"/>
      <c r="G21" s="361"/>
      <c r="H21" s="361"/>
      <c r="I21" s="377"/>
      <c r="J21" s="67" t="str">
        <f ca="1">IF(AND('Mapa final'!$AB$41="Alta",'Mapa final'!$AD$41="Leve"),CONCATENATE("R6C",'Mapa final'!$R$41),"")</f>
        <v/>
      </c>
      <c r="K21" s="68" t="str">
        <f>IF(AND('Mapa final'!$AB$42="Alta",'Mapa final'!$AD$42="Leve"),CONCATENATE("R6C",'Mapa final'!$R$42),"")</f>
        <v/>
      </c>
      <c r="L21" s="68" t="str">
        <f>IF(AND('Mapa final'!$AB$43="Alta",'Mapa final'!$AD$43="Leve"),CONCATENATE("R6C",'Mapa final'!$R$43),"")</f>
        <v/>
      </c>
      <c r="M21" s="68" t="str">
        <f>IF(AND('Mapa final'!$AB$44="Alta",'Mapa final'!$AD$44="Leve"),CONCATENATE("R6C",'Mapa final'!$R$44),"")</f>
        <v/>
      </c>
      <c r="N21" s="68" t="str">
        <f>IF(AND('Mapa final'!$AB$45="Alta",'Mapa final'!$AD$45="Leve"),CONCATENATE("R6C",'Mapa final'!$R$45),"")</f>
        <v/>
      </c>
      <c r="O21" s="69" t="str">
        <f>IF(AND('Mapa final'!$AB$46="Alta",'Mapa final'!$AD$46="Leve"),CONCATENATE("R6C",'Mapa final'!$R$46),"")</f>
        <v/>
      </c>
      <c r="P21" s="67" t="str">
        <f ca="1">IF(AND('Mapa final'!$AB$41="Alta",'Mapa final'!$AD$41="Menor"),CONCATENATE("R6C",'Mapa final'!$R$41),"")</f>
        <v/>
      </c>
      <c r="Q21" s="68" t="str">
        <f>IF(AND('Mapa final'!$AB$42="Alta",'Mapa final'!$AD$42="Menor"),CONCATENATE("R6C",'Mapa final'!$R$42),"")</f>
        <v/>
      </c>
      <c r="R21" s="68" t="str">
        <f>IF(AND('Mapa final'!$AB$43="Alta",'Mapa final'!$AD$43="Menor"),CONCATENATE("R6C",'Mapa final'!$R$43),"")</f>
        <v/>
      </c>
      <c r="S21" s="68" t="str">
        <f>IF(AND('Mapa final'!$AB$44="Alta",'Mapa final'!$AD$44="Menor"),CONCATENATE("R6C",'Mapa final'!$R$44),"")</f>
        <v/>
      </c>
      <c r="T21" s="68" t="str">
        <f>IF(AND('Mapa final'!$AB$45="Alta",'Mapa final'!$AD$45="Menor"),CONCATENATE("R6C",'Mapa final'!$R$45),"")</f>
        <v/>
      </c>
      <c r="U21" s="69" t="str">
        <f>IF(AND('Mapa final'!$AB$46="Alta",'Mapa final'!$AD$46="Menor"),CONCATENATE("R6C",'Mapa final'!$R$46),"")</f>
        <v/>
      </c>
      <c r="V21" s="51" t="str">
        <f ca="1">IF(AND('Mapa final'!$AB$41="Alta",'Mapa final'!$AD$41="Moderado"),CONCATENATE("R6C",'Mapa final'!$R$41),"")</f>
        <v/>
      </c>
      <c r="W21" s="52" t="str">
        <f>IF(AND('Mapa final'!$AB$42="Alta",'Mapa final'!$AD$42="Moderado"),CONCATENATE("R6C",'Mapa final'!$R$42),"")</f>
        <v/>
      </c>
      <c r="X21" s="57" t="str">
        <f>IF(AND('Mapa final'!$AB$43="Alta",'Mapa final'!$AD$43="Moderado"),CONCATENATE("R6C",'Mapa final'!$R$43),"")</f>
        <v/>
      </c>
      <c r="Y21" s="57" t="str">
        <f>IF(AND('Mapa final'!$AB$44="Alta",'Mapa final'!$AD$44="Moderado"),CONCATENATE("R6C",'Mapa final'!$R$44),"")</f>
        <v/>
      </c>
      <c r="Z21" s="57" t="str">
        <f>IF(AND('Mapa final'!$AB$45="Alta",'Mapa final'!$AD$45="Moderado"),CONCATENATE("R6C",'Mapa final'!$R$45),"")</f>
        <v/>
      </c>
      <c r="AA21" s="53" t="str">
        <f>IF(AND('Mapa final'!$AB$46="Alta",'Mapa final'!$AD$46="Moderado"),CONCATENATE("R6C",'Mapa final'!$R$46),"")</f>
        <v/>
      </c>
      <c r="AB21" s="51" t="str">
        <f ca="1">IF(AND('Mapa final'!$AB$41="Alta",'Mapa final'!$AD$41="Mayor"),CONCATENATE("R6C",'Mapa final'!$R$41),"")</f>
        <v/>
      </c>
      <c r="AC21" s="52" t="str">
        <f>IF(AND('Mapa final'!$AB$42="Alta",'Mapa final'!$AD$42="Mayor"),CONCATENATE("R6C",'Mapa final'!$R$42),"")</f>
        <v/>
      </c>
      <c r="AD21" s="57" t="str">
        <f>IF(AND('Mapa final'!$AB$43="Alta",'Mapa final'!$AD$43="Mayor"),CONCATENATE("R6C",'Mapa final'!$R$43),"")</f>
        <v/>
      </c>
      <c r="AE21" s="57" t="str">
        <f>IF(AND('Mapa final'!$AB$44="Alta",'Mapa final'!$AD$44="Mayor"),CONCATENATE("R6C",'Mapa final'!$R$44),"")</f>
        <v/>
      </c>
      <c r="AF21" s="57" t="str">
        <f>IF(AND('Mapa final'!$AB$45="Alta",'Mapa final'!$AD$45="Mayor"),CONCATENATE("R6C",'Mapa final'!$R$45),"")</f>
        <v/>
      </c>
      <c r="AG21" s="53" t="str">
        <f>IF(AND('Mapa final'!$AB$46="Alta",'Mapa final'!$AD$46="Mayor"),CONCATENATE("R6C",'Mapa final'!$R$46),"")</f>
        <v/>
      </c>
      <c r="AH21" s="54" t="str">
        <f ca="1">IF(AND('Mapa final'!$AB$41="Alta",'Mapa final'!$AD$41="Catastrófico"),CONCATENATE("R6C",'Mapa final'!$R$41),"")</f>
        <v/>
      </c>
      <c r="AI21" s="55" t="str">
        <f>IF(AND('Mapa final'!$AB$42="Alta",'Mapa final'!$AD$42="Catastrófico"),CONCATENATE("R6C",'Mapa final'!$R$42),"")</f>
        <v/>
      </c>
      <c r="AJ21" s="55" t="str">
        <f>IF(AND('Mapa final'!$AB$43="Alta",'Mapa final'!$AD$43="Catastrófico"),CONCATENATE("R6C",'Mapa final'!$R$43),"")</f>
        <v/>
      </c>
      <c r="AK21" s="55" t="str">
        <f>IF(AND('Mapa final'!$AB$44="Alta",'Mapa final'!$AD$44="Catastrófico"),CONCATENATE("R6C",'Mapa final'!$R$44),"")</f>
        <v/>
      </c>
      <c r="AL21" s="55" t="str">
        <f>IF(AND('Mapa final'!$AB$45="Alta",'Mapa final'!$AD$45="Catastrófico"),CONCATENATE("R6C",'Mapa final'!$R$45),"")</f>
        <v/>
      </c>
      <c r="AM21" s="56" t="str">
        <f>IF(AND('Mapa final'!$AB$46="Alta",'Mapa final'!$AD$46="Catastrófico"),CONCATENATE("R6C",'Mapa final'!$R$46),"")</f>
        <v/>
      </c>
      <c r="AN21" s="83"/>
      <c r="AO21" s="370"/>
      <c r="AP21" s="371"/>
      <c r="AQ21" s="371"/>
      <c r="AR21" s="371"/>
      <c r="AS21" s="371"/>
      <c r="AT21" s="372"/>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4.95" customHeight="1" x14ac:dyDescent="0.3">
      <c r="A22" s="83"/>
      <c r="B22" s="319"/>
      <c r="C22" s="319"/>
      <c r="D22" s="320"/>
      <c r="E22" s="360"/>
      <c r="F22" s="361"/>
      <c r="G22" s="361"/>
      <c r="H22" s="361"/>
      <c r="I22" s="377"/>
      <c r="J22" s="67" t="str">
        <f ca="1">IF(AND('Mapa final'!$AB$47="Alta",'Mapa final'!$AD$47="Leve"),CONCATENATE("R7C",'Mapa final'!$R$47),"")</f>
        <v/>
      </c>
      <c r="K22" s="68" t="str">
        <f>IF(AND('Mapa final'!$AB$48="Alta",'Mapa final'!$AD$48="Leve"),CONCATENATE("R7C",'Mapa final'!$R$48),"")</f>
        <v/>
      </c>
      <c r="L22" s="68" t="str">
        <f>IF(AND('Mapa final'!$AB$49="Alta",'Mapa final'!$AD$49="Leve"),CONCATENATE("R7C",'Mapa final'!$R$49),"")</f>
        <v/>
      </c>
      <c r="M22" s="68" t="str">
        <f>IF(AND('Mapa final'!$AB$50="Alta",'Mapa final'!$AD$50="Leve"),CONCATENATE("R7C",'Mapa final'!$R$50),"")</f>
        <v/>
      </c>
      <c r="N22" s="68" t="str">
        <f>IF(AND('Mapa final'!$AB$51="Alta",'Mapa final'!$AD$51="Leve"),CONCATENATE("R7C",'Mapa final'!$R$51),"")</f>
        <v/>
      </c>
      <c r="O22" s="69" t="str">
        <f>IF(AND('Mapa final'!$AB$52="Alta",'Mapa final'!$AD$52="Leve"),CONCATENATE("R7C",'Mapa final'!$R$52),"")</f>
        <v/>
      </c>
      <c r="P22" s="67" t="str">
        <f ca="1">IF(AND('Mapa final'!$AB$47="Alta",'Mapa final'!$AD$47="Menor"),CONCATENATE("R7C",'Mapa final'!$R$47),"")</f>
        <v/>
      </c>
      <c r="Q22" s="68" t="str">
        <f>IF(AND('Mapa final'!$AB$48="Alta",'Mapa final'!$AD$48="Menor"),CONCATENATE("R7C",'Mapa final'!$R$48),"")</f>
        <v/>
      </c>
      <c r="R22" s="68" t="str">
        <f>IF(AND('Mapa final'!$AB$49="Alta",'Mapa final'!$AD$49="Menor"),CONCATENATE("R7C",'Mapa final'!$R$49),"")</f>
        <v/>
      </c>
      <c r="S22" s="68" t="str">
        <f>IF(AND('Mapa final'!$AB$50="Alta",'Mapa final'!$AD$50="Menor"),CONCATENATE("R7C",'Mapa final'!$R$50),"")</f>
        <v/>
      </c>
      <c r="T22" s="68" t="str">
        <f>IF(AND('Mapa final'!$AB$51="Alta",'Mapa final'!$AD$51="Menor"),CONCATENATE("R7C",'Mapa final'!$R$51),"")</f>
        <v/>
      </c>
      <c r="U22" s="69" t="str">
        <f>IF(AND('Mapa final'!$AB$52="Alta",'Mapa final'!$AD$52="Menor"),CONCATENATE("R7C",'Mapa final'!$R$52),"")</f>
        <v/>
      </c>
      <c r="V22" s="51" t="str">
        <f ca="1">IF(AND('Mapa final'!$AB$47="Alta",'Mapa final'!$AD$47="Moderado"),CONCATENATE("R7C",'Mapa final'!$R$47),"")</f>
        <v/>
      </c>
      <c r="W22" s="52" t="str">
        <f>IF(AND('Mapa final'!$AB$48="Alta",'Mapa final'!$AD$48="Moderado"),CONCATENATE("R7C",'Mapa final'!$R$48),"")</f>
        <v/>
      </c>
      <c r="X22" s="57" t="str">
        <f>IF(AND('Mapa final'!$AB$49="Alta",'Mapa final'!$AD$49="Moderado"),CONCATENATE("R7C",'Mapa final'!$R$49),"")</f>
        <v/>
      </c>
      <c r="Y22" s="57" t="str">
        <f>IF(AND('Mapa final'!$AB$50="Alta",'Mapa final'!$AD$50="Moderado"),CONCATENATE("R7C",'Mapa final'!$R$50),"")</f>
        <v/>
      </c>
      <c r="Z22" s="57" t="str">
        <f>IF(AND('Mapa final'!$AB$51="Alta",'Mapa final'!$AD$51="Moderado"),CONCATENATE("R7C",'Mapa final'!$R$51),"")</f>
        <v/>
      </c>
      <c r="AA22" s="53" t="str">
        <f>IF(AND('Mapa final'!$AB$52="Alta",'Mapa final'!$AD$52="Moderado"),CONCATENATE("R7C",'Mapa final'!$R$52),"")</f>
        <v/>
      </c>
      <c r="AB22" s="51" t="str">
        <f ca="1">IF(AND('Mapa final'!$AB$47="Alta",'Mapa final'!$AD$47="Mayor"),CONCATENATE("R7C",'Mapa final'!$R$47),"")</f>
        <v/>
      </c>
      <c r="AC22" s="52" t="str">
        <f>IF(AND('Mapa final'!$AB$48="Alta",'Mapa final'!$AD$48="Mayor"),CONCATENATE("R7C",'Mapa final'!$R$48),"")</f>
        <v/>
      </c>
      <c r="AD22" s="57" t="str">
        <f>IF(AND('Mapa final'!$AB$49="Alta",'Mapa final'!$AD$49="Mayor"),CONCATENATE("R7C",'Mapa final'!$R$49),"")</f>
        <v/>
      </c>
      <c r="AE22" s="57" t="str">
        <f>IF(AND('Mapa final'!$AB$50="Alta",'Mapa final'!$AD$50="Mayor"),CONCATENATE("R7C",'Mapa final'!$R$50),"")</f>
        <v/>
      </c>
      <c r="AF22" s="57" t="str">
        <f>IF(AND('Mapa final'!$AB$51="Alta",'Mapa final'!$AD$51="Mayor"),CONCATENATE("R7C",'Mapa final'!$R$51),"")</f>
        <v/>
      </c>
      <c r="AG22" s="53" t="str">
        <f>IF(AND('Mapa final'!$AB$52="Alta",'Mapa final'!$AD$52="Mayor"),CONCATENATE("R7C",'Mapa final'!$R$52),"")</f>
        <v/>
      </c>
      <c r="AH22" s="54" t="str">
        <f ca="1">IF(AND('Mapa final'!$AB$47="Alta",'Mapa final'!$AD$47="Catastrófico"),CONCATENATE("R7C",'Mapa final'!$R$47),"")</f>
        <v/>
      </c>
      <c r="AI22" s="55" t="str">
        <f>IF(AND('Mapa final'!$AB$48="Alta",'Mapa final'!$AD$48="Catastrófico"),CONCATENATE("R7C",'Mapa final'!$R$48),"")</f>
        <v/>
      </c>
      <c r="AJ22" s="55" t="str">
        <f>IF(AND('Mapa final'!$AB$49="Alta",'Mapa final'!$AD$49="Catastrófico"),CONCATENATE("R7C",'Mapa final'!$R$49),"")</f>
        <v/>
      </c>
      <c r="AK22" s="55" t="str">
        <f>IF(AND('Mapa final'!$AB$50="Alta",'Mapa final'!$AD$50="Catastrófico"),CONCATENATE("R7C",'Mapa final'!$R$50),"")</f>
        <v/>
      </c>
      <c r="AL22" s="55" t="str">
        <f>IF(AND('Mapa final'!$AB$51="Alta",'Mapa final'!$AD$51="Catastrófico"),CONCATENATE("R7C",'Mapa final'!$R$51),"")</f>
        <v/>
      </c>
      <c r="AM22" s="56" t="str">
        <f>IF(AND('Mapa final'!$AB$52="Alta",'Mapa final'!$AD$52="Catastrófico"),CONCATENATE("R7C",'Mapa final'!$R$52),"")</f>
        <v/>
      </c>
      <c r="AN22" s="83"/>
      <c r="AO22" s="370"/>
      <c r="AP22" s="371"/>
      <c r="AQ22" s="371"/>
      <c r="AR22" s="371"/>
      <c r="AS22" s="371"/>
      <c r="AT22" s="372"/>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4.95" customHeight="1" x14ac:dyDescent="0.3">
      <c r="A23" s="83"/>
      <c r="B23" s="319"/>
      <c r="C23" s="319"/>
      <c r="D23" s="320"/>
      <c r="E23" s="360"/>
      <c r="F23" s="361"/>
      <c r="G23" s="361"/>
      <c r="H23" s="361"/>
      <c r="I23" s="377"/>
      <c r="J23" s="67" t="str">
        <f ca="1">IF(AND('Mapa final'!$AB$53="Alta",'Mapa final'!$AD$53="Leve"),CONCATENATE("R8C",'Mapa final'!$R$53),"")</f>
        <v/>
      </c>
      <c r="K23" s="68" t="str">
        <f ca="1">IF(AND('Mapa final'!$AB$54="Alta",'Mapa final'!$AD$54="Leve"),CONCATENATE("R8C",'Mapa final'!$R$54),"")</f>
        <v/>
      </c>
      <c r="L23" s="68" t="str">
        <f>IF(AND('Mapa final'!$AB$55="Alta",'Mapa final'!$AD$55="Leve"),CONCATENATE("R8C",'Mapa final'!$R$55),"")</f>
        <v/>
      </c>
      <c r="M23" s="68" t="str">
        <f>IF(AND('Mapa final'!$AB$56="Alta",'Mapa final'!$AD$56="Leve"),CONCATENATE("R8C",'Mapa final'!$R$56),"")</f>
        <v/>
      </c>
      <c r="N23" s="68" t="str">
        <f>IF(AND('Mapa final'!$AB$57="Alta",'Mapa final'!$AD$57="Leve"),CONCATENATE("R8C",'Mapa final'!$R$57),"")</f>
        <v/>
      </c>
      <c r="O23" s="69" t="str">
        <f>IF(AND('Mapa final'!$AB$58="Alta",'Mapa final'!$AD$58="Leve"),CONCATENATE("R8C",'Mapa final'!$R$58),"")</f>
        <v/>
      </c>
      <c r="P23" s="67" t="str">
        <f ca="1">IF(AND('Mapa final'!$AB$53="Alta",'Mapa final'!$AD$53="Menor"),CONCATENATE("R8C",'Mapa final'!$R$53),"")</f>
        <v/>
      </c>
      <c r="Q23" s="68" t="str">
        <f ca="1">IF(AND('Mapa final'!$AB$54="Alta",'Mapa final'!$AD$54="Menor"),CONCATENATE("R8C",'Mapa final'!$R$54),"")</f>
        <v/>
      </c>
      <c r="R23" s="68" t="str">
        <f>IF(AND('Mapa final'!$AB$55="Alta",'Mapa final'!$AD$55="Menor"),CONCATENATE("R8C",'Mapa final'!$R$55),"")</f>
        <v/>
      </c>
      <c r="S23" s="68" t="str">
        <f>IF(AND('Mapa final'!$AB$56="Alta",'Mapa final'!$AD$56="Menor"),CONCATENATE("R8C",'Mapa final'!$R$56),"")</f>
        <v/>
      </c>
      <c r="T23" s="68" t="str">
        <f>IF(AND('Mapa final'!$AB$57="Alta",'Mapa final'!$AD$57="Menor"),CONCATENATE("R8C",'Mapa final'!$R$57),"")</f>
        <v/>
      </c>
      <c r="U23" s="69" t="str">
        <f>IF(AND('Mapa final'!$AB$58="Alta",'Mapa final'!$AD$58="Menor"),CONCATENATE("R8C",'Mapa final'!$R$58),"")</f>
        <v/>
      </c>
      <c r="V23" s="51" t="str">
        <f ca="1">IF(AND('Mapa final'!$AB$53="Alta",'Mapa final'!$AD$53="Moderado"),CONCATENATE("R8C",'Mapa final'!$R$53),"")</f>
        <v/>
      </c>
      <c r="W23" s="52" t="str">
        <f ca="1">IF(AND('Mapa final'!$AB$54="Alta",'Mapa final'!$AD$54="Moderado"),CONCATENATE("R8C",'Mapa final'!$R$54),"")</f>
        <v/>
      </c>
      <c r="X23" s="57" t="str">
        <f>IF(AND('Mapa final'!$AB$55="Alta",'Mapa final'!$AD$55="Moderado"),CONCATENATE("R8C",'Mapa final'!$R$55),"")</f>
        <v/>
      </c>
      <c r="Y23" s="57" t="str">
        <f>IF(AND('Mapa final'!$AB$56="Alta",'Mapa final'!$AD$56="Moderado"),CONCATENATE("R8C",'Mapa final'!$R$56),"")</f>
        <v/>
      </c>
      <c r="Z23" s="57" t="str">
        <f>IF(AND('Mapa final'!$AB$57="Alta",'Mapa final'!$AD$57="Moderado"),CONCATENATE("R8C",'Mapa final'!$R$57),"")</f>
        <v/>
      </c>
      <c r="AA23" s="53" t="str">
        <f>IF(AND('Mapa final'!$AB$58="Alta",'Mapa final'!$AD$58="Moderado"),CONCATENATE("R8C",'Mapa final'!$R$58),"")</f>
        <v/>
      </c>
      <c r="AB23" s="51" t="str">
        <f ca="1">IF(AND('Mapa final'!$AB$53="Alta",'Mapa final'!$AD$53="Mayor"),CONCATENATE("R8C",'Mapa final'!$R$53),"")</f>
        <v/>
      </c>
      <c r="AC23" s="52" t="str">
        <f ca="1">IF(AND('Mapa final'!$AB$54="Alta",'Mapa final'!$AD$54="Mayor"),CONCATENATE("R8C",'Mapa final'!$R$54),"")</f>
        <v/>
      </c>
      <c r="AD23" s="57" t="str">
        <f>IF(AND('Mapa final'!$AB$55="Alta",'Mapa final'!$AD$55="Mayor"),CONCATENATE("R8C",'Mapa final'!$R$55),"")</f>
        <v/>
      </c>
      <c r="AE23" s="57" t="str">
        <f>IF(AND('Mapa final'!$AB$56="Alta",'Mapa final'!$AD$56="Mayor"),CONCATENATE("R8C",'Mapa final'!$R$56),"")</f>
        <v/>
      </c>
      <c r="AF23" s="57" t="str">
        <f>IF(AND('Mapa final'!$AB$57="Alta",'Mapa final'!$AD$57="Mayor"),CONCATENATE("R8C",'Mapa final'!$R$57),"")</f>
        <v/>
      </c>
      <c r="AG23" s="53" t="str">
        <f>IF(AND('Mapa final'!$AB$58="Alta",'Mapa final'!$AD$58="Mayor"),CONCATENATE("R8C",'Mapa final'!$R$58),"")</f>
        <v/>
      </c>
      <c r="AH23" s="54" t="str">
        <f ca="1">IF(AND('Mapa final'!$AB$53="Alta",'Mapa final'!$AD$53="Catastrófico"),CONCATENATE("R8C",'Mapa final'!$R$53),"")</f>
        <v/>
      </c>
      <c r="AI23" s="55" t="str">
        <f ca="1">IF(AND('Mapa final'!$AB$54="Alta",'Mapa final'!$AD$54="Catastrófico"),CONCATENATE("R8C",'Mapa final'!$R$54),"")</f>
        <v/>
      </c>
      <c r="AJ23" s="55" t="str">
        <f>IF(AND('Mapa final'!$AB$55="Alta",'Mapa final'!$AD$55="Catastrófico"),CONCATENATE("R8C",'Mapa final'!$R$55),"")</f>
        <v/>
      </c>
      <c r="AK23" s="55" t="str">
        <f>IF(AND('Mapa final'!$AB$56="Alta",'Mapa final'!$AD$56="Catastrófico"),CONCATENATE("R8C",'Mapa final'!$R$56),"")</f>
        <v/>
      </c>
      <c r="AL23" s="55" t="str">
        <f>IF(AND('Mapa final'!$AB$57="Alta",'Mapa final'!$AD$57="Catastrófico"),CONCATENATE("R8C",'Mapa final'!$R$57),"")</f>
        <v/>
      </c>
      <c r="AM23" s="56" t="str">
        <f>IF(AND('Mapa final'!$AB$58="Alta",'Mapa final'!$AD$58="Catastrófico"),CONCATENATE("R8C",'Mapa final'!$R$58),"")</f>
        <v/>
      </c>
      <c r="AN23" s="83"/>
      <c r="AO23" s="370"/>
      <c r="AP23" s="371"/>
      <c r="AQ23" s="371"/>
      <c r="AR23" s="371"/>
      <c r="AS23" s="371"/>
      <c r="AT23" s="372"/>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4.95" customHeight="1" x14ac:dyDescent="0.3">
      <c r="A24" s="83"/>
      <c r="B24" s="319"/>
      <c r="C24" s="319"/>
      <c r="D24" s="320"/>
      <c r="E24" s="360"/>
      <c r="F24" s="361"/>
      <c r="G24" s="361"/>
      <c r="H24" s="361"/>
      <c r="I24" s="377"/>
      <c r="J24" s="67" t="str">
        <f ca="1">IF(AND('Mapa final'!$AB$59="Alta",'Mapa final'!$AD$59="Leve"),CONCATENATE("R9C",'Mapa final'!$R$59),"")</f>
        <v/>
      </c>
      <c r="K24" s="68" t="str">
        <f>IF(AND('Mapa final'!$AB$60="Alta",'Mapa final'!$AD$60="Leve"),CONCATENATE("R9C",'Mapa final'!$R$60),"")</f>
        <v/>
      </c>
      <c r="L24" s="68" t="str">
        <f>IF(AND('Mapa final'!$AB$61="Alta",'Mapa final'!$AD$61="Leve"),CONCATENATE("R9C",'Mapa final'!$R$61),"")</f>
        <v/>
      </c>
      <c r="M24" s="68" t="str">
        <f>IF(AND('Mapa final'!$AB$62="Alta",'Mapa final'!$AD$62="Leve"),CONCATENATE("R9C",'Mapa final'!$R$62),"")</f>
        <v/>
      </c>
      <c r="N24" s="68" t="str">
        <f>IF(AND('Mapa final'!$AB$63="Alta",'Mapa final'!$AD$63="Leve"),CONCATENATE("R9C",'Mapa final'!$R$63),"")</f>
        <v/>
      </c>
      <c r="O24" s="69" t="str">
        <f>IF(AND('Mapa final'!$AB$64="Alta",'Mapa final'!$AD$64="Leve"),CONCATENATE("R9C",'Mapa final'!$R$64),"")</f>
        <v/>
      </c>
      <c r="P24" s="67" t="str">
        <f ca="1">IF(AND('Mapa final'!$AB$59="Alta",'Mapa final'!$AD$59="Menor"),CONCATENATE("R9C",'Mapa final'!$R$59),"")</f>
        <v/>
      </c>
      <c r="Q24" s="68" t="str">
        <f>IF(AND('Mapa final'!$AB$60="Alta",'Mapa final'!$AD$60="Menor"),CONCATENATE("R9C",'Mapa final'!$R$60),"")</f>
        <v/>
      </c>
      <c r="R24" s="68" t="str">
        <f>IF(AND('Mapa final'!$AB$61="Alta",'Mapa final'!$AD$61="Menor"),CONCATENATE("R9C",'Mapa final'!$R$61),"")</f>
        <v/>
      </c>
      <c r="S24" s="68" t="str">
        <f>IF(AND('Mapa final'!$AB$62="Alta",'Mapa final'!$AD$62="Menor"),CONCATENATE("R9C",'Mapa final'!$R$62),"")</f>
        <v/>
      </c>
      <c r="T24" s="68" t="str">
        <f>IF(AND('Mapa final'!$AB$63="Alta",'Mapa final'!$AD$63="Menor"),CONCATENATE("R9C",'Mapa final'!$R$63),"")</f>
        <v/>
      </c>
      <c r="U24" s="69" t="str">
        <f>IF(AND('Mapa final'!$AB$64="Alta",'Mapa final'!$AD$64="Menor"),CONCATENATE("R9C",'Mapa final'!$R$64),"")</f>
        <v/>
      </c>
      <c r="V24" s="51" t="str">
        <f ca="1">IF(AND('Mapa final'!$AB$59="Alta",'Mapa final'!$AD$59="Moderado"),CONCATENATE("R9C",'Mapa final'!$R$59),"")</f>
        <v/>
      </c>
      <c r="W24" s="52" t="str">
        <f>IF(AND('Mapa final'!$AB$60="Alta",'Mapa final'!$AD$60="Moderado"),CONCATENATE("R9C",'Mapa final'!$R$60),"")</f>
        <v/>
      </c>
      <c r="X24" s="57" t="str">
        <f>IF(AND('Mapa final'!$AB$61="Alta",'Mapa final'!$AD$61="Moderado"),CONCATENATE("R9C",'Mapa final'!$R$61),"")</f>
        <v/>
      </c>
      <c r="Y24" s="57" t="str">
        <f>IF(AND('Mapa final'!$AB$62="Alta",'Mapa final'!$AD$62="Moderado"),CONCATENATE("R9C",'Mapa final'!$R$62),"")</f>
        <v/>
      </c>
      <c r="Z24" s="57" t="str">
        <f>IF(AND('Mapa final'!$AB$63="Alta",'Mapa final'!$AD$63="Moderado"),CONCATENATE("R9C",'Mapa final'!$R$63),"")</f>
        <v/>
      </c>
      <c r="AA24" s="53" t="str">
        <f>IF(AND('Mapa final'!$AB$64="Alta",'Mapa final'!$AD$64="Moderado"),CONCATENATE("R9C",'Mapa final'!$R$64),"")</f>
        <v/>
      </c>
      <c r="AB24" s="51" t="str">
        <f ca="1">IF(AND('Mapa final'!$AB$59="Alta",'Mapa final'!$AD$59="Mayor"),CONCATENATE("R9C",'Mapa final'!$R$59),"")</f>
        <v/>
      </c>
      <c r="AC24" s="52" t="str">
        <f>IF(AND('Mapa final'!$AB$60="Alta",'Mapa final'!$AD$60="Mayor"),CONCATENATE("R9C",'Mapa final'!$R$60),"")</f>
        <v/>
      </c>
      <c r="AD24" s="57" t="str">
        <f>IF(AND('Mapa final'!$AB$61="Alta",'Mapa final'!$AD$61="Mayor"),CONCATENATE("R9C",'Mapa final'!$R$61),"")</f>
        <v/>
      </c>
      <c r="AE24" s="57" t="str">
        <f>IF(AND('Mapa final'!$AB$62="Alta",'Mapa final'!$AD$62="Mayor"),CONCATENATE("R9C",'Mapa final'!$R$62),"")</f>
        <v/>
      </c>
      <c r="AF24" s="57" t="str">
        <f>IF(AND('Mapa final'!$AB$63="Alta",'Mapa final'!$AD$63="Mayor"),CONCATENATE("R9C",'Mapa final'!$R$63),"")</f>
        <v/>
      </c>
      <c r="AG24" s="53" t="str">
        <f>IF(AND('Mapa final'!$AB$64="Alta",'Mapa final'!$AD$64="Mayor"),CONCATENATE("R9C",'Mapa final'!$R$64),"")</f>
        <v/>
      </c>
      <c r="AH24" s="54" t="str">
        <f ca="1">IF(AND('Mapa final'!$AB$59="Alta",'Mapa final'!$AD$59="Catastrófico"),CONCATENATE("R9C",'Mapa final'!$R$59),"")</f>
        <v/>
      </c>
      <c r="AI24" s="55" t="str">
        <f>IF(AND('Mapa final'!$AB$60="Alta",'Mapa final'!$AD$60="Catastrófico"),CONCATENATE("R9C",'Mapa final'!$R$60),"")</f>
        <v/>
      </c>
      <c r="AJ24" s="55" t="str">
        <f>IF(AND('Mapa final'!$AB$61="Alta",'Mapa final'!$AD$61="Catastrófico"),CONCATENATE("R9C",'Mapa final'!$R$61),"")</f>
        <v/>
      </c>
      <c r="AK24" s="55" t="str">
        <f>IF(AND('Mapa final'!$AB$62="Alta",'Mapa final'!$AD$62="Catastrófico"),CONCATENATE("R9C",'Mapa final'!$R$62),"")</f>
        <v/>
      </c>
      <c r="AL24" s="55" t="str">
        <f>IF(AND('Mapa final'!$AB$63="Alta",'Mapa final'!$AD$63="Catastrófico"),CONCATENATE("R9C",'Mapa final'!$R$63),"")</f>
        <v/>
      </c>
      <c r="AM24" s="56" t="str">
        <f>IF(AND('Mapa final'!$AB$64="Alta",'Mapa final'!$AD$64="Catastrófico"),CONCATENATE("R9C",'Mapa final'!$R$64),"")</f>
        <v/>
      </c>
      <c r="AN24" s="83"/>
      <c r="AO24" s="370"/>
      <c r="AP24" s="371"/>
      <c r="AQ24" s="371"/>
      <c r="AR24" s="371"/>
      <c r="AS24" s="371"/>
      <c r="AT24" s="372"/>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8" customHeight="1" thickBot="1" x14ac:dyDescent="0.35">
      <c r="A25" s="83"/>
      <c r="B25" s="319"/>
      <c r="C25" s="319"/>
      <c r="D25" s="320"/>
      <c r="E25" s="363"/>
      <c r="F25" s="364"/>
      <c r="G25" s="364"/>
      <c r="H25" s="364"/>
      <c r="I25" s="364"/>
      <c r="J25" s="70" t="str">
        <f>IF(AND('Mapa final'!$AB$65="Alta",'Mapa final'!$AD$65="Leve"),CONCATENATE("R10C",'Mapa final'!$R$65),"")</f>
        <v/>
      </c>
      <c r="K25" s="71" t="str">
        <f>IF(AND('Mapa final'!$AB$66="Alta",'Mapa final'!$AD$66="Leve"),CONCATENATE("R10C",'Mapa final'!$R$66),"")</f>
        <v/>
      </c>
      <c r="L25" s="71" t="str">
        <f>IF(AND('Mapa final'!$AB$67="Alta",'Mapa final'!$AD$67="Leve"),CONCATENATE("R10C",'Mapa final'!$R$67),"")</f>
        <v/>
      </c>
      <c r="M25" s="71" t="str">
        <f>IF(AND('Mapa final'!$AB$68="Alta",'Mapa final'!$AD$68="Leve"),CONCATENATE("R10C",'Mapa final'!$R$68),"")</f>
        <v/>
      </c>
      <c r="N25" s="71" t="str">
        <f>IF(AND('Mapa final'!$AB$69="Alta",'Mapa final'!$AD$69="Leve"),CONCATENATE("R10C",'Mapa final'!$R$69),"")</f>
        <v/>
      </c>
      <c r="O25" s="72" t="str">
        <f>IF(AND('Mapa final'!$AB$70="Alta",'Mapa final'!$AD$70="Leve"),CONCATENATE("R10C",'Mapa final'!$R$70),"")</f>
        <v/>
      </c>
      <c r="P25" s="70" t="str">
        <f>IF(AND('Mapa final'!$AB$65="Alta",'Mapa final'!$AD$65="Menor"),CONCATENATE("R10C",'Mapa final'!$R$65),"")</f>
        <v/>
      </c>
      <c r="Q25" s="71" t="str">
        <f>IF(AND('Mapa final'!$AB$66="Alta",'Mapa final'!$AD$66="Menor"),CONCATENATE("R10C",'Mapa final'!$R$66),"")</f>
        <v/>
      </c>
      <c r="R25" s="71" t="str">
        <f>IF(AND('Mapa final'!$AB$67="Alta",'Mapa final'!$AD$67="Menor"),CONCATENATE("R10C",'Mapa final'!$R$67),"")</f>
        <v/>
      </c>
      <c r="S25" s="71" t="str">
        <f>IF(AND('Mapa final'!$AB$68="Alta",'Mapa final'!$AD$68="Menor"),CONCATENATE("R10C",'Mapa final'!$R$68),"")</f>
        <v/>
      </c>
      <c r="T25" s="71" t="str">
        <f>IF(AND('Mapa final'!$AB$69="Alta",'Mapa final'!$AD$69="Menor"),CONCATENATE("R10C",'Mapa final'!$R$69),"")</f>
        <v/>
      </c>
      <c r="U25" s="72" t="str">
        <f>IF(AND('Mapa final'!$AB$70="Alta",'Mapa final'!$AD$70="Menor"),CONCATENATE("R10C",'Mapa final'!$R$70),"")</f>
        <v/>
      </c>
      <c r="V25" s="58" t="str">
        <f>IF(AND('Mapa final'!$AB$65="Alta",'Mapa final'!$AD$65="Moderado"),CONCATENATE("R10C",'Mapa final'!$R$65),"")</f>
        <v/>
      </c>
      <c r="W25" s="59" t="str">
        <f>IF(AND('Mapa final'!$AB$66="Alta",'Mapa final'!$AD$66="Moderado"),CONCATENATE("R10C",'Mapa final'!$R$66),"")</f>
        <v/>
      </c>
      <c r="X25" s="59" t="str">
        <f>IF(AND('Mapa final'!$AB$67="Alta",'Mapa final'!$AD$67="Moderado"),CONCATENATE("R10C",'Mapa final'!$R$67),"")</f>
        <v/>
      </c>
      <c r="Y25" s="59" t="str">
        <f>IF(AND('Mapa final'!$AB$68="Alta",'Mapa final'!$AD$68="Moderado"),CONCATENATE("R10C",'Mapa final'!$R$68),"")</f>
        <v/>
      </c>
      <c r="Z25" s="59" t="str">
        <f>IF(AND('Mapa final'!$AB$69="Alta",'Mapa final'!$AD$69="Moderado"),CONCATENATE("R10C",'Mapa final'!$R$69),"")</f>
        <v/>
      </c>
      <c r="AA25" s="60" t="str">
        <f>IF(AND('Mapa final'!$AB$70="Alta",'Mapa final'!$AD$70="Moderado"),CONCATENATE("R10C",'Mapa final'!$R$70),"")</f>
        <v/>
      </c>
      <c r="AB25" s="58" t="str">
        <f>IF(AND('Mapa final'!$AB$65="Alta",'Mapa final'!$AD$65="Mayor"),CONCATENATE("R10C",'Mapa final'!$R$65),"")</f>
        <v/>
      </c>
      <c r="AC25" s="59" t="str">
        <f>IF(AND('Mapa final'!$AB$66="Alta",'Mapa final'!$AD$66="Mayor"),CONCATENATE("R10C",'Mapa final'!$R$66),"")</f>
        <v/>
      </c>
      <c r="AD25" s="59" t="str">
        <f>IF(AND('Mapa final'!$AB$67="Alta",'Mapa final'!$AD$67="Mayor"),CONCATENATE("R10C",'Mapa final'!$R$67),"")</f>
        <v/>
      </c>
      <c r="AE25" s="59" t="str">
        <f>IF(AND('Mapa final'!$AB$68="Alta",'Mapa final'!$AD$68="Mayor"),CONCATENATE("R10C",'Mapa final'!$R$68),"")</f>
        <v/>
      </c>
      <c r="AF25" s="59" t="str">
        <f>IF(AND('Mapa final'!$AB$69="Alta",'Mapa final'!$AD$69="Mayor"),CONCATENATE("R10C",'Mapa final'!$R$69),"")</f>
        <v/>
      </c>
      <c r="AG25" s="60" t="str">
        <f>IF(AND('Mapa final'!$AB$70="Alta",'Mapa final'!$AD$70="Mayor"),CONCATENATE("R10C",'Mapa final'!$R$70),"")</f>
        <v/>
      </c>
      <c r="AH25" s="61" t="str">
        <f>IF(AND('Mapa final'!$AB$65="Alta",'Mapa final'!$AD$65="Catastrófico"),CONCATENATE("R10C",'Mapa final'!$R$65),"")</f>
        <v/>
      </c>
      <c r="AI25" s="62" t="str">
        <f>IF(AND('Mapa final'!$AB$66="Alta",'Mapa final'!$AD$66="Catastrófico"),CONCATENATE("R10C",'Mapa final'!$R$66),"")</f>
        <v/>
      </c>
      <c r="AJ25" s="62" t="str">
        <f>IF(AND('Mapa final'!$AB$67="Alta",'Mapa final'!$AD$67="Catastrófico"),CONCATENATE("R10C",'Mapa final'!$R$67),"")</f>
        <v/>
      </c>
      <c r="AK25" s="62" t="str">
        <f>IF(AND('Mapa final'!$AB$68="Alta",'Mapa final'!$AD$68="Catastrófico"),CONCATENATE("R10C",'Mapa final'!$R$68),"")</f>
        <v/>
      </c>
      <c r="AL25" s="62" t="str">
        <f>IF(AND('Mapa final'!$AB$69="Alta",'Mapa final'!$AD$69="Catastrófico"),CONCATENATE("R10C",'Mapa final'!$R$69),"")</f>
        <v/>
      </c>
      <c r="AM25" s="63" t="str">
        <f>IF(AND('Mapa final'!$AB$70="Alta",'Mapa final'!$AD$70="Catastrófico"),CONCATENATE("R10C",'Mapa final'!$R$70),"")</f>
        <v/>
      </c>
      <c r="AN25" s="83"/>
      <c r="AO25" s="373"/>
      <c r="AP25" s="374"/>
      <c r="AQ25" s="374"/>
      <c r="AR25" s="374"/>
      <c r="AS25" s="374"/>
      <c r="AT25" s="375"/>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4.95" customHeight="1" x14ac:dyDescent="0.3">
      <c r="A26" s="83"/>
      <c r="B26" s="319"/>
      <c r="C26" s="319"/>
      <c r="D26" s="320"/>
      <c r="E26" s="357" t="s">
        <v>109</v>
      </c>
      <c r="F26" s="358"/>
      <c r="G26" s="358"/>
      <c r="H26" s="358"/>
      <c r="I26" s="359"/>
      <c r="J26" s="64" t="str">
        <f ca="1">IF(AND('Mapa final'!$AB$11="Media",'Mapa final'!$AD$11="Leve"),CONCATENATE("R1C",'Mapa final'!$R$11),"")</f>
        <v/>
      </c>
      <c r="K26" s="65" t="str">
        <f ca="1">IF(AND('Mapa final'!$AB$12="Media",'Mapa final'!$AD$12="Leve"),CONCATENATE("R1C",'Mapa final'!$R$12),"")</f>
        <v/>
      </c>
      <c r="L26" s="65" t="str">
        <f>IF(AND('Mapa final'!$AB$13="Media",'Mapa final'!$AD$13="Leve"),CONCATENATE("R1C",'Mapa final'!$R$13),"")</f>
        <v/>
      </c>
      <c r="M26" s="65" t="str">
        <f>IF(AND('Mapa final'!$AB$14="Media",'Mapa final'!$AD$14="Leve"),CONCATENATE("R1C",'Mapa final'!$R$14),"")</f>
        <v/>
      </c>
      <c r="N26" s="65" t="str">
        <f>IF(AND('Mapa final'!$AB$15="Media",'Mapa final'!$AD$15="Leve"),CONCATENATE("R1C",'Mapa final'!$R$15),"")</f>
        <v/>
      </c>
      <c r="O26" s="66" t="str">
        <f>IF(AND('Mapa final'!$AB$16="Media",'Mapa final'!$AD$16="Leve"),CONCATENATE("R1C",'Mapa final'!$R$16),"")</f>
        <v/>
      </c>
      <c r="P26" s="64" t="str">
        <f ca="1">IF(AND('Mapa final'!$AB$11="Media",'Mapa final'!$AD$11="Menor"),CONCATENATE("R1C",'Mapa final'!$R$11),"")</f>
        <v/>
      </c>
      <c r="Q26" s="65" t="str">
        <f ca="1">IF(AND('Mapa final'!$AB$12="Media",'Mapa final'!$AD$12="Menor"),CONCATENATE("R1C",'Mapa final'!$R$12),"")</f>
        <v/>
      </c>
      <c r="R26" s="65" t="str">
        <f>IF(AND('Mapa final'!$AB$13="Media",'Mapa final'!$AD$13="Menor"),CONCATENATE("R1C",'Mapa final'!$R$13),"")</f>
        <v/>
      </c>
      <c r="S26" s="65" t="str">
        <f>IF(AND('Mapa final'!$AB$14="Media",'Mapa final'!$AD$14="Menor"),CONCATENATE("R1C",'Mapa final'!$R$14),"")</f>
        <v/>
      </c>
      <c r="T26" s="65" t="str">
        <f>IF(AND('Mapa final'!$AB$15="Media",'Mapa final'!$AD$15="Menor"),CONCATENATE("R1C",'Mapa final'!$R$15),"")</f>
        <v/>
      </c>
      <c r="U26" s="66" t="str">
        <f>IF(AND('Mapa final'!$AB$16="Media",'Mapa final'!$AD$16="Menor"),CONCATENATE("R1C",'Mapa final'!$R$16),"")</f>
        <v/>
      </c>
      <c r="V26" s="64" t="str">
        <f ca="1">IF(AND('Mapa final'!$AB$11="Media",'Mapa final'!$AD$11="Moderado"),CONCATENATE("R1C",'Mapa final'!$R$11),"")</f>
        <v>R1C1</v>
      </c>
      <c r="W26" s="65" t="str">
        <f ca="1">IF(AND('Mapa final'!$AB$12="Media",'Mapa final'!$AD$12="Moderado"),CONCATENATE("R1C",'Mapa final'!$R$12),"")</f>
        <v/>
      </c>
      <c r="X26" s="65" t="str">
        <f>IF(AND('Mapa final'!$AB$13="Media",'Mapa final'!$AD$13="Moderado"),CONCATENATE("R1C",'Mapa final'!$R$13),"")</f>
        <v/>
      </c>
      <c r="Y26" s="65" t="str">
        <f>IF(AND('Mapa final'!$AB$14="Media",'Mapa final'!$AD$14="Moderado"),CONCATENATE("R1C",'Mapa final'!$R$14),"")</f>
        <v/>
      </c>
      <c r="Z26" s="65" t="str">
        <f>IF(AND('Mapa final'!$AB$15="Media",'Mapa final'!$AD$15="Moderado"),CONCATENATE("R1C",'Mapa final'!$R$15),"")</f>
        <v/>
      </c>
      <c r="AA26" s="66" t="str">
        <f>IF(AND('Mapa final'!$AB$16="Media",'Mapa final'!$AD$16="Moderado"),CONCATENATE("R1C",'Mapa final'!$R$16),"")</f>
        <v/>
      </c>
      <c r="AB26" s="45" t="str">
        <f ca="1">IF(AND('Mapa final'!$AB$11="Media",'Mapa final'!$AD$11="Mayor"),CONCATENATE("R1C",'Mapa final'!$R$11),"")</f>
        <v/>
      </c>
      <c r="AC26" s="46" t="str">
        <f ca="1">IF(AND('Mapa final'!$AB$12="Media",'Mapa final'!$AD$12="Mayor"),CONCATENATE("R1C",'Mapa final'!$R$12),"")</f>
        <v/>
      </c>
      <c r="AD26" s="46" t="str">
        <f>IF(AND('Mapa final'!$AB$13="Media",'Mapa final'!$AD$13="Mayor"),CONCATENATE("R1C",'Mapa final'!$R$13),"")</f>
        <v/>
      </c>
      <c r="AE26" s="46" t="str">
        <f>IF(AND('Mapa final'!$AB$14="Media",'Mapa final'!$AD$14="Mayor"),CONCATENATE("R1C",'Mapa final'!$R$14),"")</f>
        <v/>
      </c>
      <c r="AF26" s="46" t="str">
        <f>IF(AND('Mapa final'!$AB$15="Media",'Mapa final'!$AD$15="Mayor"),CONCATENATE("R1C",'Mapa final'!$R$15),"")</f>
        <v/>
      </c>
      <c r="AG26" s="47" t="str">
        <f>IF(AND('Mapa final'!$AB$16="Media",'Mapa final'!$AD$16="Mayor"),CONCATENATE("R1C",'Mapa final'!$R$16),"")</f>
        <v/>
      </c>
      <c r="AH26" s="48" t="str">
        <f ca="1">IF(AND('Mapa final'!$AB$11="Media",'Mapa final'!$AD$11="Catastrófico"),CONCATENATE("R1C",'Mapa final'!$R$11),"")</f>
        <v/>
      </c>
      <c r="AI26" s="49" t="str">
        <f ca="1">IF(AND('Mapa final'!$AB$12="Media",'Mapa final'!$AD$12="Catastrófico"),CONCATENATE("R1C",'Mapa final'!$R$12),"")</f>
        <v/>
      </c>
      <c r="AJ26" s="49" t="str">
        <f>IF(AND('Mapa final'!$AB$13="Media",'Mapa final'!$AD$13="Catastrófico"),CONCATENATE("R1C",'Mapa final'!$R$13),"")</f>
        <v/>
      </c>
      <c r="AK26" s="49" t="str">
        <f>IF(AND('Mapa final'!$AB$14="Media",'Mapa final'!$AD$14="Catastrófico"),CONCATENATE("R1C",'Mapa final'!$R$14),"")</f>
        <v/>
      </c>
      <c r="AL26" s="49" t="str">
        <f>IF(AND('Mapa final'!$AB$15="Media",'Mapa final'!$AD$15="Catastrófico"),CONCATENATE("R1C",'Mapa final'!$R$15),"")</f>
        <v/>
      </c>
      <c r="AM26" s="50" t="str">
        <f>IF(AND('Mapa final'!$AB$16="Media",'Mapa final'!$AD$16="Catastrófico"),CONCATENATE("R1C",'Mapa final'!$R$16),"")</f>
        <v/>
      </c>
      <c r="AN26" s="83"/>
      <c r="AO26" s="398" t="s">
        <v>78</v>
      </c>
      <c r="AP26" s="399"/>
      <c r="AQ26" s="399"/>
      <c r="AR26" s="399"/>
      <c r="AS26" s="399"/>
      <c r="AT26" s="40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4.95" customHeight="1" x14ac:dyDescent="0.3">
      <c r="A27" s="83"/>
      <c r="B27" s="319"/>
      <c r="C27" s="319"/>
      <c r="D27" s="320"/>
      <c r="E27" s="376"/>
      <c r="F27" s="377"/>
      <c r="G27" s="377"/>
      <c r="H27" s="377"/>
      <c r="I27" s="362"/>
      <c r="J27" s="67" t="str">
        <f ca="1">IF(AND('Mapa final'!$AB$17="Media",'Mapa final'!$AD$17="Leve"),CONCATENATE("R2C",'Mapa final'!$R$17),"")</f>
        <v/>
      </c>
      <c r="K27" s="68" t="str">
        <f>IF(AND('Mapa final'!$AB$18="Media",'Mapa final'!$AD$18="Leve"),CONCATENATE("R2C",'Mapa final'!$R$18),"")</f>
        <v/>
      </c>
      <c r="L27" s="68" t="str">
        <f>IF(AND('Mapa final'!$AB$19="Media",'Mapa final'!$AD$19="Leve"),CONCATENATE("R2C",'Mapa final'!$R$19),"")</f>
        <v/>
      </c>
      <c r="M27" s="68" t="str">
        <f>IF(AND('Mapa final'!$AB$20="Media",'Mapa final'!$AD$20="Leve"),CONCATENATE("R2C",'Mapa final'!$R$20),"")</f>
        <v/>
      </c>
      <c r="N27" s="68" t="str">
        <f>IF(AND('Mapa final'!$AB$21="Media",'Mapa final'!$AD$21="Leve"),CONCATENATE("R2C",'Mapa final'!$R$21),"")</f>
        <v/>
      </c>
      <c r="O27" s="69" t="str">
        <f>IF(AND('Mapa final'!$AB$22="Media",'Mapa final'!$AD$22="Leve"),CONCATENATE("R2C",'Mapa final'!$R$22),"")</f>
        <v/>
      </c>
      <c r="P27" s="67" t="str">
        <f ca="1">IF(AND('Mapa final'!$AB$17="Media",'Mapa final'!$AD$17="Menor"),CONCATENATE("R2C",'Mapa final'!$R$17),"")</f>
        <v/>
      </c>
      <c r="Q27" s="68" t="str">
        <f>IF(AND('Mapa final'!$AB$18="Media",'Mapa final'!$AD$18="Menor"),CONCATENATE("R2C",'Mapa final'!$R$18),"")</f>
        <v/>
      </c>
      <c r="R27" s="68" t="str">
        <f>IF(AND('Mapa final'!$AB$19="Media",'Mapa final'!$AD$19="Menor"),CONCATENATE("R2C",'Mapa final'!$R$19),"")</f>
        <v/>
      </c>
      <c r="S27" s="68" t="str">
        <f>IF(AND('Mapa final'!$AB$20="Media",'Mapa final'!$AD$20="Menor"),CONCATENATE("R2C",'Mapa final'!$R$20),"")</f>
        <v/>
      </c>
      <c r="T27" s="68" t="str">
        <f>IF(AND('Mapa final'!$AB$21="Media",'Mapa final'!$AD$21="Menor"),CONCATENATE("R2C",'Mapa final'!$R$21),"")</f>
        <v/>
      </c>
      <c r="U27" s="69" t="str">
        <f>IF(AND('Mapa final'!$AB$22="Media",'Mapa final'!$AD$22="Menor"),CONCATENATE("R2C",'Mapa final'!$R$22),"")</f>
        <v/>
      </c>
      <c r="V27" s="67" t="str">
        <f ca="1">IF(AND('Mapa final'!$AB$17="Media",'Mapa final'!$AD$17="Moderado"),CONCATENATE("R2C",'Mapa final'!$R$17),"")</f>
        <v/>
      </c>
      <c r="W27" s="68" t="str">
        <f>IF(AND('Mapa final'!$AB$18="Media",'Mapa final'!$AD$18="Moderado"),CONCATENATE("R2C",'Mapa final'!$R$18),"")</f>
        <v/>
      </c>
      <c r="X27" s="68" t="str">
        <f>IF(AND('Mapa final'!$AB$19="Media",'Mapa final'!$AD$19="Moderado"),CONCATENATE("R2C",'Mapa final'!$R$19),"")</f>
        <v/>
      </c>
      <c r="Y27" s="68" t="str">
        <f>IF(AND('Mapa final'!$AB$20="Media",'Mapa final'!$AD$20="Moderado"),CONCATENATE("R2C",'Mapa final'!$R$20),"")</f>
        <v/>
      </c>
      <c r="Z27" s="68" t="str">
        <f>IF(AND('Mapa final'!$AB$21="Media",'Mapa final'!$AD$21="Moderado"),CONCATENATE("R2C",'Mapa final'!$R$21),"")</f>
        <v/>
      </c>
      <c r="AA27" s="69" t="str">
        <f>IF(AND('Mapa final'!$AB$22="Media",'Mapa final'!$AD$22="Moderado"),CONCATENATE("R2C",'Mapa final'!$R$22),"")</f>
        <v/>
      </c>
      <c r="AB27" s="51" t="str">
        <f ca="1">IF(AND('Mapa final'!$AB$17="Media",'Mapa final'!$AD$17="Mayor"),CONCATENATE("R2C",'Mapa final'!$R$17),"")</f>
        <v/>
      </c>
      <c r="AC27" s="52" t="str">
        <f>IF(AND('Mapa final'!$AB$18="Media",'Mapa final'!$AD$18="Mayor"),CONCATENATE("R2C",'Mapa final'!$R$18),"")</f>
        <v/>
      </c>
      <c r="AD27" s="52" t="str">
        <f>IF(AND('Mapa final'!$AB$19="Media",'Mapa final'!$AD$19="Mayor"),CONCATENATE("R2C",'Mapa final'!$R$19),"")</f>
        <v/>
      </c>
      <c r="AE27" s="52" t="str">
        <f>IF(AND('Mapa final'!$AB$20="Media",'Mapa final'!$AD$20="Mayor"),CONCATENATE("R2C",'Mapa final'!$R$20),"")</f>
        <v/>
      </c>
      <c r="AF27" s="52" t="str">
        <f>IF(AND('Mapa final'!$AB$21="Media",'Mapa final'!$AD$21="Mayor"),CONCATENATE("R2C",'Mapa final'!$R$21),"")</f>
        <v/>
      </c>
      <c r="AG27" s="53" t="str">
        <f>IF(AND('Mapa final'!$AB$22="Media",'Mapa final'!$AD$22="Mayor"),CONCATENATE("R2C",'Mapa final'!$R$22),"")</f>
        <v/>
      </c>
      <c r="AH27" s="54" t="str">
        <f ca="1">IF(AND('Mapa final'!$AB$17="Media",'Mapa final'!$AD$17="Catastrófico"),CONCATENATE("R2C",'Mapa final'!$R$17),"")</f>
        <v/>
      </c>
      <c r="AI27" s="55" t="str">
        <f>IF(AND('Mapa final'!$AB$18="Media",'Mapa final'!$AD$18="Catastrófico"),CONCATENATE("R2C",'Mapa final'!$R$18),"")</f>
        <v/>
      </c>
      <c r="AJ27" s="55" t="str">
        <f>IF(AND('Mapa final'!$AB$19="Media",'Mapa final'!$AD$19="Catastrófico"),CONCATENATE("R2C",'Mapa final'!$R$19),"")</f>
        <v/>
      </c>
      <c r="AK27" s="55" t="str">
        <f>IF(AND('Mapa final'!$AB$20="Media",'Mapa final'!$AD$20="Catastrófico"),CONCATENATE("R2C",'Mapa final'!$R$20),"")</f>
        <v/>
      </c>
      <c r="AL27" s="55" t="str">
        <f>IF(AND('Mapa final'!$AB$21="Media",'Mapa final'!$AD$21="Catastrófico"),CONCATENATE("R2C",'Mapa final'!$R$21),"")</f>
        <v/>
      </c>
      <c r="AM27" s="56" t="str">
        <f>IF(AND('Mapa final'!$AB$22="Media",'Mapa final'!$AD$22="Catastrófico"),CONCATENATE("R2C",'Mapa final'!$R$22),"")</f>
        <v/>
      </c>
      <c r="AN27" s="83"/>
      <c r="AO27" s="401"/>
      <c r="AP27" s="402"/>
      <c r="AQ27" s="402"/>
      <c r="AR27" s="402"/>
      <c r="AS27" s="402"/>
      <c r="AT27" s="40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4.95" customHeight="1" x14ac:dyDescent="0.3">
      <c r="A28" s="83"/>
      <c r="B28" s="319"/>
      <c r="C28" s="319"/>
      <c r="D28" s="320"/>
      <c r="E28" s="360"/>
      <c r="F28" s="361"/>
      <c r="G28" s="361"/>
      <c r="H28" s="361"/>
      <c r="I28" s="362"/>
      <c r="J28" s="67" t="str">
        <f ca="1">IF(AND('Mapa final'!$AB$23="Media",'Mapa final'!$AD$23="Leve"),CONCATENATE("R3C",'Mapa final'!$R$23),"")</f>
        <v/>
      </c>
      <c r="K28" s="68" t="str">
        <f ca="1">IF(AND('Mapa final'!$AB$24="Media",'Mapa final'!$AD$24="Leve"),CONCATENATE("R3C",'Mapa final'!$R$24),"")</f>
        <v/>
      </c>
      <c r="L28" s="68" t="str">
        <f>IF(AND('Mapa final'!$AB$25="Media",'Mapa final'!$AD$25="Leve"),CONCATENATE("R3C",'Mapa final'!$R$25),"")</f>
        <v/>
      </c>
      <c r="M28" s="68" t="str">
        <f>IF(AND('Mapa final'!$AB$26="Media",'Mapa final'!$AD$26="Leve"),CONCATENATE("R3C",'Mapa final'!$R$26),"")</f>
        <v/>
      </c>
      <c r="N28" s="68" t="str">
        <f>IF(AND('Mapa final'!$AB$27="Media",'Mapa final'!$AD$27="Leve"),CONCATENATE("R3C",'Mapa final'!$R$27),"")</f>
        <v/>
      </c>
      <c r="O28" s="69" t="str">
        <f>IF(AND('Mapa final'!$AB$28="Media",'Mapa final'!$AD$28="Leve"),CONCATENATE("R3C",'Mapa final'!$R$28),"")</f>
        <v/>
      </c>
      <c r="P28" s="67" t="str">
        <f ca="1">IF(AND('Mapa final'!$AB$23="Media",'Mapa final'!$AD$23="Menor"),CONCATENATE("R3C",'Mapa final'!$R$23),"")</f>
        <v/>
      </c>
      <c r="Q28" s="68" t="str">
        <f ca="1">IF(AND('Mapa final'!$AB$24="Media",'Mapa final'!$AD$24="Menor"),CONCATENATE("R3C",'Mapa final'!$R$24),"")</f>
        <v/>
      </c>
      <c r="R28" s="68" t="str">
        <f>IF(AND('Mapa final'!$AB$25="Media",'Mapa final'!$AD$25="Menor"),CONCATENATE("R3C",'Mapa final'!$R$25),"")</f>
        <v/>
      </c>
      <c r="S28" s="68" t="str">
        <f>IF(AND('Mapa final'!$AB$26="Media",'Mapa final'!$AD$26="Menor"),CONCATENATE("R3C",'Mapa final'!$R$26),"")</f>
        <v/>
      </c>
      <c r="T28" s="68" t="str">
        <f>IF(AND('Mapa final'!$AB$27="Media",'Mapa final'!$AD$27="Menor"),CONCATENATE("R3C",'Mapa final'!$R$27),"")</f>
        <v/>
      </c>
      <c r="U28" s="69" t="str">
        <f>IF(AND('Mapa final'!$AB$28="Media",'Mapa final'!$AD$28="Menor"),CONCATENATE("R3C",'Mapa final'!$R$28),"")</f>
        <v/>
      </c>
      <c r="V28" s="67" t="str">
        <f ca="1">IF(AND('Mapa final'!$AB$23="Media",'Mapa final'!$AD$23="Moderado"),CONCATENATE("R3C",'Mapa final'!$R$23),"")</f>
        <v/>
      </c>
      <c r="W28" s="68" t="str">
        <f ca="1">IF(AND('Mapa final'!$AB$24="Media",'Mapa final'!$AD$24="Moderado"),CONCATENATE("R3C",'Mapa final'!$R$24),"")</f>
        <v/>
      </c>
      <c r="X28" s="68" t="str">
        <f>IF(AND('Mapa final'!$AB$25="Media",'Mapa final'!$AD$25="Moderado"),CONCATENATE("R3C",'Mapa final'!$R$25),"")</f>
        <v/>
      </c>
      <c r="Y28" s="68" t="str">
        <f>IF(AND('Mapa final'!$AB$26="Media",'Mapa final'!$AD$26="Moderado"),CONCATENATE("R3C",'Mapa final'!$R$26),"")</f>
        <v/>
      </c>
      <c r="Z28" s="68" t="str">
        <f>IF(AND('Mapa final'!$AB$27="Media",'Mapa final'!$AD$27="Moderado"),CONCATENATE("R3C",'Mapa final'!$R$27),"")</f>
        <v/>
      </c>
      <c r="AA28" s="69" t="str">
        <f>IF(AND('Mapa final'!$AB$28="Media",'Mapa final'!$AD$28="Moderado"),CONCATENATE("R3C",'Mapa final'!$R$28),"")</f>
        <v/>
      </c>
      <c r="AB28" s="51" t="str">
        <f ca="1">IF(AND('Mapa final'!$AB$23="Media",'Mapa final'!$AD$23="Mayor"),CONCATENATE("R3C",'Mapa final'!$R$23),"")</f>
        <v/>
      </c>
      <c r="AC28" s="52" t="str">
        <f ca="1">IF(AND('Mapa final'!$AB$24="Media",'Mapa final'!$AD$24="Mayor"),CONCATENATE("R3C",'Mapa final'!$R$24),"")</f>
        <v/>
      </c>
      <c r="AD28" s="52" t="str">
        <f>IF(AND('Mapa final'!$AB$25="Media",'Mapa final'!$AD$25="Mayor"),CONCATENATE("R3C",'Mapa final'!$R$25),"")</f>
        <v/>
      </c>
      <c r="AE28" s="52" t="str">
        <f>IF(AND('Mapa final'!$AB$26="Media",'Mapa final'!$AD$26="Mayor"),CONCATENATE("R3C",'Mapa final'!$R$26),"")</f>
        <v/>
      </c>
      <c r="AF28" s="52" t="str">
        <f>IF(AND('Mapa final'!$AB$27="Media",'Mapa final'!$AD$27="Mayor"),CONCATENATE("R3C",'Mapa final'!$R$27),"")</f>
        <v/>
      </c>
      <c r="AG28" s="53" t="str">
        <f>IF(AND('Mapa final'!$AB$28="Media",'Mapa final'!$AD$28="Mayor"),CONCATENATE("R3C",'Mapa final'!$R$28),"")</f>
        <v/>
      </c>
      <c r="AH28" s="54" t="str">
        <f ca="1">IF(AND('Mapa final'!$AB$23="Media",'Mapa final'!$AD$23="Catastrófico"),CONCATENATE("R3C",'Mapa final'!$R$23),"")</f>
        <v/>
      </c>
      <c r="AI28" s="55" t="str">
        <f ca="1">IF(AND('Mapa final'!$AB$24="Media",'Mapa final'!$AD$24="Catastrófico"),CONCATENATE("R3C",'Mapa final'!$R$24),"")</f>
        <v/>
      </c>
      <c r="AJ28" s="55" t="str">
        <f>IF(AND('Mapa final'!$AB$25="Media",'Mapa final'!$AD$25="Catastrófico"),CONCATENATE("R3C",'Mapa final'!$R$25),"")</f>
        <v/>
      </c>
      <c r="AK28" s="55" t="str">
        <f>IF(AND('Mapa final'!$AB$26="Media",'Mapa final'!$AD$26="Catastrófico"),CONCATENATE("R3C",'Mapa final'!$R$26),"")</f>
        <v/>
      </c>
      <c r="AL28" s="55" t="str">
        <f>IF(AND('Mapa final'!$AB$27="Media",'Mapa final'!$AD$27="Catastrófico"),CONCATENATE("R3C",'Mapa final'!$R$27),"")</f>
        <v/>
      </c>
      <c r="AM28" s="56" t="str">
        <f>IF(AND('Mapa final'!$AB$28="Media",'Mapa final'!$AD$28="Catastrófico"),CONCATENATE("R3C",'Mapa final'!$R$28),"")</f>
        <v/>
      </c>
      <c r="AN28" s="83"/>
      <c r="AO28" s="401"/>
      <c r="AP28" s="402"/>
      <c r="AQ28" s="402"/>
      <c r="AR28" s="402"/>
      <c r="AS28" s="402"/>
      <c r="AT28" s="40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4.95" customHeight="1" x14ac:dyDescent="0.3">
      <c r="A29" s="83"/>
      <c r="B29" s="319"/>
      <c r="C29" s="319"/>
      <c r="D29" s="320"/>
      <c r="E29" s="360"/>
      <c r="F29" s="361"/>
      <c r="G29" s="361"/>
      <c r="H29" s="361"/>
      <c r="I29" s="362"/>
      <c r="J29" s="67" t="str">
        <f ca="1">IF(AND('Mapa final'!$AB$29="Media",'Mapa final'!$AD$29="Leve"),CONCATENATE("R4C",'Mapa final'!$R$29),"")</f>
        <v/>
      </c>
      <c r="K29" s="68" t="str">
        <f>IF(AND('Mapa final'!$AB$30="Media",'Mapa final'!$AD$30="Leve"),CONCATENATE("R4C",'Mapa final'!$R$30),"")</f>
        <v/>
      </c>
      <c r="L29" s="68" t="str">
        <f>IF(AND('Mapa final'!$AB$31="Media",'Mapa final'!$AD$31="Leve"),CONCATENATE("R4C",'Mapa final'!$R$31),"")</f>
        <v/>
      </c>
      <c r="M29" s="68" t="str">
        <f>IF(AND('Mapa final'!$AB$32="Media",'Mapa final'!$AD$32="Leve"),CONCATENATE("R4C",'Mapa final'!$R$32),"")</f>
        <v/>
      </c>
      <c r="N29" s="68" t="str">
        <f>IF(AND('Mapa final'!$AB$33="Media",'Mapa final'!$AD$33="Leve"),CONCATENATE("R4C",'Mapa final'!$R$33),"")</f>
        <v/>
      </c>
      <c r="O29" s="69" t="str">
        <f>IF(AND('Mapa final'!$AB$34="Media",'Mapa final'!$AD$34="Leve"),CONCATENATE("R4C",'Mapa final'!$R$34),"")</f>
        <v/>
      </c>
      <c r="P29" s="67" t="str">
        <f ca="1">IF(AND('Mapa final'!$AB$29="Media",'Mapa final'!$AD$29="Menor"),CONCATENATE("R4C",'Mapa final'!$R$29),"")</f>
        <v/>
      </c>
      <c r="Q29" s="68" t="str">
        <f>IF(AND('Mapa final'!$AB$30="Media",'Mapa final'!$AD$30="Menor"),CONCATENATE("R4C",'Mapa final'!$R$30),"")</f>
        <v/>
      </c>
      <c r="R29" s="68" t="str">
        <f>IF(AND('Mapa final'!$AB$31="Media",'Mapa final'!$AD$31="Menor"),CONCATENATE("R4C",'Mapa final'!$R$31),"")</f>
        <v/>
      </c>
      <c r="S29" s="68" t="str">
        <f>IF(AND('Mapa final'!$AB$32="Media",'Mapa final'!$AD$32="Menor"),CONCATENATE("R4C",'Mapa final'!$R$32),"")</f>
        <v/>
      </c>
      <c r="T29" s="68" t="str">
        <f>IF(AND('Mapa final'!$AB$33="Media",'Mapa final'!$AD$33="Menor"),CONCATENATE("R4C",'Mapa final'!$R$33),"")</f>
        <v/>
      </c>
      <c r="U29" s="69" t="str">
        <f>IF(AND('Mapa final'!$AB$34="Media",'Mapa final'!$AD$34="Menor"),CONCATENATE("R4C",'Mapa final'!$R$34),"")</f>
        <v/>
      </c>
      <c r="V29" s="67" t="str">
        <f ca="1">IF(AND('Mapa final'!$AB$29="Media",'Mapa final'!$AD$29="Moderado"),CONCATENATE("R4C",'Mapa final'!$R$29),"")</f>
        <v>R4C1</v>
      </c>
      <c r="W29" s="68" t="str">
        <f>IF(AND('Mapa final'!$AB$30="Media",'Mapa final'!$AD$30="Moderado"),CONCATENATE("R4C",'Mapa final'!$R$30),"")</f>
        <v/>
      </c>
      <c r="X29" s="68" t="str">
        <f>IF(AND('Mapa final'!$AB$31="Media",'Mapa final'!$AD$31="Moderado"),CONCATENATE("R4C",'Mapa final'!$R$31),"")</f>
        <v/>
      </c>
      <c r="Y29" s="68" t="str">
        <f>IF(AND('Mapa final'!$AB$32="Media",'Mapa final'!$AD$32="Moderado"),CONCATENATE("R4C",'Mapa final'!$R$32),"")</f>
        <v/>
      </c>
      <c r="Z29" s="68" t="str">
        <f>IF(AND('Mapa final'!$AB$33="Media",'Mapa final'!$AD$33="Moderado"),CONCATENATE("R4C",'Mapa final'!$R$33),"")</f>
        <v/>
      </c>
      <c r="AA29" s="69" t="str">
        <f>IF(AND('Mapa final'!$AB$34="Media",'Mapa final'!$AD$34="Moderado"),CONCATENATE("R4C",'Mapa final'!$R$34),"")</f>
        <v/>
      </c>
      <c r="AB29" s="51" t="str">
        <f ca="1">IF(AND('Mapa final'!$AB$29="Media",'Mapa final'!$AD$29="Mayor"),CONCATENATE("R4C",'Mapa final'!$R$29),"")</f>
        <v/>
      </c>
      <c r="AC29" s="52" t="str">
        <f>IF(AND('Mapa final'!$AB$30="Media",'Mapa final'!$AD$30="Mayor"),CONCATENATE("R4C",'Mapa final'!$R$30),"")</f>
        <v/>
      </c>
      <c r="AD29" s="57" t="str">
        <f>IF(AND('Mapa final'!$AB$31="Media",'Mapa final'!$AD$31="Mayor"),CONCATENATE("R4C",'Mapa final'!$R$31),"")</f>
        <v/>
      </c>
      <c r="AE29" s="57" t="str">
        <f>IF(AND('Mapa final'!$AB$32="Media",'Mapa final'!$AD$32="Mayor"),CONCATENATE("R4C",'Mapa final'!$R$32),"")</f>
        <v/>
      </c>
      <c r="AF29" s="57" t="str">
        <f>IF(AND('Mapa final'!$AB$33="Media",'Mapa final'!$AD$33="Mayor"),CONCATENATE("R4C",'Mapa final'!$R$33),"")</f>
        <v/>
      </c>
      <c r="AG29" s="53" t="str">
        <f>IF(AND('Mapa final'!$AB$34="Media",'Mapa final'!$AD$34="Mayor"),CONCATENATE("R4C",'Mapa final'!$R$34),"")</f>
        <v/>
      </c>
      <c r="AH29" s="54" t="str">
        <f ca="1">IF(AND('Mapa final'!$AB$29="Media",'Mapa final'!$AD$29="Catastrófico"),CONCATENATE("R4C",'Mapa final'!$R$29),"")</f>
        <v/>
      </c>
      <c r="AI29" s="55" t="str">
        <f>IF(AND('Mapa final'!$AB$30="Media",'Mapa final'!$AD$30="Catastrófico"),CONCATENATE("R4C",'Mapa final'!$R$30),"")</f>
        <v/>
      </c>
      <c r="AJ29" s="55" t="str">
        <f>IF(AND('Mapa final'!$AB$31="Media",'Mapa final'!$AD$31="Catastrófico"),CONCATENATE("R4C",'Mapa final'!$R$31),"")</f>
        <v/>
      </c>
      <c r="AK29" s="55" t="str">
        <f>IF(AND('Mapa final'!$AB$32="Media",'Mapa final'!$AD$32="Catastrófico"),CONCATENATE("R4C",'Mapa final'!$R$32),"")</f>
        <v/>
      </c>
      <c r="AL29" s="55" t="str">
        <f>IF(AND('Mapa final'!$AB$33="Media",'Mapa final'!$AD$33="Catastrófico"),CONCATENATE("R4C",'Mapa final'!$R$33),"")</f>
        <v/>
      </c>
      <c r="AM29" s="56" t="str">
        <f>IF(AND('Mapa final'!$AB$34="Media",'Mapa final'!$AD$34="Catastrófico"),CONCATENATE("R4C",'Mapa final'!$R$34),"")</f>
        <v/>
      </c>
      <c r="AN29" s="83"/>
      <c r="AO29" s="401"/>
      <c r="AP29" s="402"/>
      <c r="AQ29" s="402"/>
      <c r="AR29" s="402"/>
      <c r="AS29" s="402"/>
      <c r="AT29" s="40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4.95" customHeight="1" x14ac:dyDescent="0.3">
      <c r="A30" s="83"/>
      <c r="B30" s="319"/>
      <c r="C30" s="319"/>
      <c r="D30" s="320"/>
      <c r="E30" s="360"/>
      <c r="F30" s="361"/>
      <c r="G30" s="361"/>
      <c r="H30" s="361"/>
      <c r="I30" s="362"/>
      <c r="J30" s="67" t="str">
        <f ca="1">IF(AND('Mapa final'!$AB$35="Media",'Mapa final'!$AD$35="Leve"),CONCATENATE("R5C",'Mapa final'!$R$35),"")</f>
        <v/>
      </c>
      <c r="K30" s="68" t="str">
        <f>IF(AND('Mapa final'!$AB$36="Media",'Mapa final'!$AD$36="Leve"),CONCATENATE("R5C",'Mapa final'!$R$36),"")</f>
        <v/>
      </c>
      <c r="L30" s="68" t="str">
        <f>IF(AND('Mapa final'!$AB$37="Media",'Mapa final'!$AD$37="Leve"),CONCATENATE("R5C",'Mapa final'!$R$37),"")</f>
        <v/>
      </c>
      <c r="M30" s="68" t="str">
        <f>IF(AND('Mapa final'!$AB$38="Media",'Mapa final'!$AD$38="Leve"),CONCATENATE("R5C",'Mapa final'!$R$38),"")</f>
        <v/>
      </c>
      <c r="N30" s="68" t="str">
        <f>IF(AND('Mapa final'!$AB$39="Media",'Mapa final'!$AD$39="Leve"),CONCATENATE("R5C",'Mapa final'!$R$39),"")</f>
        <v/>
      </c>
      <c r="O30" s="69" t="str">
        <f>IF(AND('Mapa final'!$AB$40="Media",'Mapa final'!$AD$40="Leve"),CONCATENATE("R5C",'Mapa final'!$R$40),"")</f>
        <v/>
      </c>
      <c r="P30" s="67" t="str">
        <f ca="1">IF(AND('Mapa final'!$AB$35="Media",'Mapa final'!$AD$35="Menor"),CONCATENATE("R5C",'Mapa final'!$R$35),"")</f>
        <v/>
      </c>
      <c r="Q30" s="68" t="str">
        <f>IF(AND('Mapa final'!$AB$36="Media",'Mapa final'!$AD$36="Menor"),CONCATENATE("R5C",'Mapa final'!$R$36),"")</f>
        <v/>
      </c>
      <c r="R30" s="68" t="str">
        <f>IF(AND('Mapa final'!$AB$37="Media",'Mapa final'!$AD$37="Menor"),CONCATENATE("R5C",'Mapa final'!$R$37),"")</f>
        <v/>
      </c>
      <c r="S30" s="68" t="str">
        <f>IF(AND('Mapa final'!$AB$38="Media",'Mapa final'!$AD$38="Menor"),CONCATENATE("R5C",'Mapa final'!$R$38),"")</f>
        <v/>
      </c>
      <c r="T30" s="68" t="str">
        <f>IF(AND('Mapa final'!$AB$39="Media",'Mapa final'!$AD$39="Menor"),CONCATENATE("R5C",'Mapa final'!$R$39),"")</f>
        <v/>
      </c>
      <c r="U30" s="69" t="str">
        <f>IF(AND('Mapa final'!$AB$40="Media",'Mapa final'!$AD$40="Menor"),CONCATENATE("R5C",'Mapa final'!$R$40),"")</f>
        <v/>
      </c>
      <c r="V30" s="67" t="str">
        <f ca="1">IF(AND('Mapa final'!$AB$35="Media",'Mapa final'!$AD$35="Moderado"),CONCATENATE("R5C",'Mapa final'!$R$35),"")</f>
        <v/>
      </c>
      <c r="W30" s="68" t="str">
        <f>IF(AND('Mapa final'!$AB$36="Media",'Mapa final'!$AD$36="Moderado"),CONCATENATE("R5C",'Mapa final'!$R$36),"")</f>
        <v/>
      </c>
      <c r="X30" s="68" t="str">
        <f>IF(AND('Mapa final'!$AB$37="Media",'Mapa final'!$AD$37="Moderado"),CONCATENATE("R5C",'Mapa final'!$R$37),"")</f>
        <v/>
      </c>
      <c r="Y30" s="68" t="str">
        <f>IF(AND('Mapa final'!$AB$38="Media",'Mapa final'!$AD$38="Moderado"),CONCATENATE("R5C",'Mapa final'!$R$38),"")</f>
        <v/>
      </c>
      <c r="Z30" s="68" t="str">
        <f>IF(AND('Mapa final'!$AB$39="Media",'Mapa final'!$AD$39="Moderado"),CONCATENATE("R5C",'Mapa final'!$R$39),"")</f>
        <v/>
      </c>
      <c r="AA30" s="69" t="str">
        <f>IF(AND('Mapa final'!$AB$40="Media",'Mapa final'!$AD$40="Moderado"),CONCATENATE("R5C",'Mapa final'!$R$40),"")</f>
        <v/>
      </c>
      <c r="AB30" s="51" t="str">
        <f ca="1">IF(AND('Mapa final'!$AB$35="Media",'Mapa final'!$AD$35="Mayor"),CONCATENATE("R5C",'Mapa final'!$R$35),"")</f>
        <v/>
      </c>
      <c r="AC30" s="52" t="str">
        <f>IF(AND('Mapa final'!$AB$36="Media",'Mapa final'!$AD$36="Mayor"),CONCATENATE("R5C",'Mapa final'!$R$36),"")</f>
        <v/>
      </c>
      <c r="AD30" s="57" t="str">
        <f>IF(AND('Mapa final'!$AB$37="Media",'Mapa final'!$AD$37="Mayor"),CONCATENATE("R5C",'Mapa final'!$R$37),"")</f>
        <v/>
      </c>
      <c r="AE30" s="57" t="str">
        <f>IF(AND('Mapa final'!$AB$38="Media",'Mapa final'!$AD$38="Mayor"),CONCATENATE("R5C",'Mapa final'!$R$38),"")</f>
        <v/>
      </c>
      <c r="AF30" s="57" t="str">
        <f>IF(AND('Mapa final'!$AB$39="Media",'Mapa final'!$AD$39="Mayor"),CONCATENATE("R5C",'Mapa final'!$R$39),"")</f>
        <v/>
      </c>
      <c r="AG30" s="53" t="str">
        <f>IF(AND('Mapa final'!$AB$40="Media",'Mapa final'!$AD$40="Mayor"),CONCATENATE("R5C",'Mapa final'!$R$40),"")</f>
        <v/>
      </c>
      <c r="AH30" s="54" t="str">
        <f ca="1">IF(AND('Mapa final'!$AB$35="Media",'Mapa final'!$AD$35="Catastrófico"),CONCATENATE("R5C",'Mapa final'!$R$35),"")</f>
        <v/>
      </c>
      <c r="AI30" s="55" t="str">
        <f>IF(AND('Mapa final'!$AB$36="Media",'Mapa final'!$AD$36="Catastrófico"),CONCATENATE("R5C",'Mapa final'!$R$36),"")</f>
        <v/>
      </c>
      <c r="AJ30" s="55" t="str">
        <f>IF(AND('Mapa final'!$AB$37="Media",'Mapa final'!$AD$37="Catastrófico"),CONCATENATE("R5C",'Mapa final'!$R$37),"")</f>
        <v/>
      </c>
      <c r="AK30" s="55" t="str">
        <f>IF(AND('Mapa final'!$AB$38="Media",'Mapa final'!$AD$38="Catastrófico"),CONCATENATE("R5C",'Mapa final'!$R$38),"")</f>
        <v/>
      </c>
      <c r="AL30" s="55" t="str">
        <f>IF(AND('Mapa final'!$AB$39="Media",'Mapa final'!$AD$39="Catastrófico"),CONCATENATE("R5C",'Mapa final'!$R$39),"")</f>
        <v/>
      </c>
      <c r="AM30" s="56" t="str">
        <f>IF(AND('Mapa final'!$AB$40="Media",'Mapa final'!$AD$40="Catastrófico"),CONCATENATE("R5C",'Mapa final'!$R$40),"")</f>
        <v/>
      </c>
      <c r="AN30" s="83"/>
      <c r="AO30" s="401"/>
      <c r="AP30" s="402"/>
      <c r="AQ30" s="402"/>
      <c r="AR30" s="402"/>
      <c r="AS30" s="402"/>
      <c r="AT30" s="40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4.95" customHeight="1" x14ac:dyDescent="0.3">
      <c r="A31" s="83"/>
      <c r="B31" s="319"/>
      <c r="C31" s="319"/>
      <c r="D31" s="320"/>
      <c r="E31" s="360"/>
      <c r="F31" s="361"/>
      <c r="G31" s="361"/>
      <c r="H31" s="361"/>
      <c r="I31" s="362"/>
      <c r="J31" s="67" t="str">
        <f ca="1">IF(AND('Mapa final'!$AB$41="Media",'Mapa final'!$AD$41="Leve"),CONCATENATE("R6C",'Mapa final'!$R$41),"")</f>
        <v/>
      </c>
      <c r="K31" s="68" t="str">
        <f>IF(AND('Mapa final'!$AB$42="Media",'Mapa final'!$AD$42="Leve"),CONCATENATE("R6C",'Mapa final'!$R$42),"")</f>
        <v/>
      </c>
      <c r="L31" s="68" t="str">
        <f>IF(AND('Mapa final'!$AB$43="Media",'Mapa final'!$AD$43="Leve"),CONCATENATE("R6C",'Mapa final'!$R$43),"")</f>
        <v/>
      </c>
      <c r="M31" s="68" t="str">
        <f>IF(AND('Mapa final'!$AB$44="Media",'Mapa final'!$AD$44="Leve"),CONCATENATE("R6C",'Mapa final'!$R$44),"")</f>
        <v/>
      </c>
      <c r="N31" s="68" t="str">
        <f>IF(AND('Mapa final'!$AB$45="Media",'Mapa final'!$AD$45="Leve"),CONCATENATE("R6C",'Mapa final'!$R$45),"")</f>
        <v/>
      </c>
      <c r="O31" s="69" t="str">
        <f>IF(AND('Mapa final'!$AB$46="Media",'Mapa final'!$AD$46="Leve"),CONCATENATE("R6C",'Mapa final'!$R$46),"")</f>
        <v/>
      </c>
      <c r="P31" s="67" t="str">
        <f ca="1">IF(AND('Mapa final'!$AB$41="Media",'Mapa final'!$AD$41="Menor"),CONCATENATE("R6C",'Mapa final'!$R$41),"")</f>
        <v/>
      </c>
      <c r="Q31" s="68" t="str">
        <f>IF(AND('Mapa final'!$AB$42="Media",'Mapa final'!$AD$42="Menor"),CONCATENATE("R6C",'Mapa final'!$R$42),"")</f>
        <v/>
      </c>
      <c r="R31" s="68" t="str">
        <f>IF(AND('Mapa final'!$AB$43="Media",'Mapa final'!$AD$43="Menor"),CONCATENATE("R6C",'Mapa final'!$R$43),"")</f>
        <v/>
      </c>
      <c r="S31" s="68" t="str">
        <f>IF(AND('Mapa final'!$AB$44="Media",'Mapa final'!$AD$44="Menor"),CONCATENATE("R6C",'Mapa final'!$R$44),"")</f>
        <v/>
      </c>
      <c r="T31" s="68" t="str">
        <f>IF(AND('Mapa final'!$AB$45="Media",'Mapa final'!$AD$45="Menor"),CONCATENATE("R6C",'Mapa final'!$R$45),"")</f>
        <v/>
      </c>
      <c r="U31" s="69" t="str">
        <f>IF(AND('Mapa final'!$AB$46="Media",'Mapa final'!$AD$46="Menor"),CONCATENATE("R6C",'Mapa final'!$R$46),"")</f>
        <v/>
      </c>
      <c r="V31" s="67" t="str">
        <f ca="1">IF(AND('Mapa final'!$AB$41="Media",'Mapa final'!$AD$41="Moderado"),CONCATENATE("R6C",'Mapa final'!$R$41),"")</f>
        <v>R6C1</v>
      </c>
      <c r="W31" s="68" t="str">
        <f>IF(AND('Mapa final'!$AB$42="Media",'Mapa final'!$AD$42="Moderado"),CONCATENATE("R6C",'Mapa final'!$R$42),"")</f>
        <v/>
      </c>
      <c r="X31" s="68" t="str">
        <f>IF(AND('Mapa final'!$AB$43="Media",'Mapa final'!$AD$43="Moderado"),CONCATENATE("R6C",'Mapa final'!$R$43),"")</f>
        <v/>
      </c>
      <c r="Y31" s="68" t="str">
        <f>IF(AND('Mapa final'!$AB$44="Media",'Mapa final'!$AD$44="Moderado"),CONCATENATE("R6C",'Mapa final'!$R$44),"")</f>
        <v/>
      </c>
      <c r="Z31" s="68" t="str">
        <f>IF(AND('Mapa final'!$AB$45="Media",'Mapa final'!$AD$45="Moderado"),CONCATENATE("R6C",'Mapa final'!$R$45),"")</f>
        <v/>
      </c>
      <c r="AA31" s="69" t="str">
        <f>IF(AND('Mapa final'!$AB$46="Media",'Mapa final'!$AD$46="Moderado"),CONCATENATE("R6C",'Mapa final'!$R$46),"")</f>
        <v/>
      </c>
      <c r="AB31" s="51" t="str">
        <f ca="1">IF(AND('Mapa final'!$AB$41="Media",'Mapa final'!$AD$41="Mayor"),CONCATENATE("R6C",'Mapa final'!$R$41),"")</f>
        <v/>
      </c>
      <c r="AC31" s="52" t="str">
        <f>IF(AND('Mapa final'!$AB$42="Media",'Mapa final'!$AD$42="Mayor"),CONCATENATE("R6C",'Mapa final'!$R$42),"")</f>
        <v/>
      </c>
      <c r="AD31" s="57" t="str">
        <f>IF(AND('Mapa final'!$AB$43="Media",'Mapa final'!$AD$43="Mayor"),CONCATENATE("R6C",'Mapa final'!$R$43),"")</f>
        <v/>
      </c>
      <c r="AE31" s="57" t="str">
        <f>IF(AND('Mapa final'!$AB$44="Media",'Mapa final'!$AD$44="Mayor"),CONCATENATE("R6C",'Mapa final'!$R$44),"")</f>
        <v/>
      </c>
      <c r="AF31" s="57" t="str">
        <f>IF(AND('Mapa final'!$AB$45="Media",'Mapa final'!$AD$45="Mayor"),CONCATENATE("R6C",'Mapa final'!$R$45),"")</f>
        <v/>
      </c>
      <c r="AG31" s="53" t="str">
        <f>IF(AND('Mapa final'!$AB$46="Media",'Mapa final'!$AD$46="Mayor"),CONCATENATE("R6C",'Mapa final'!$R$46),"")</f>
        <v/>
      </c>
      <c r="AH31" s="54" t="str">
        <f ca="1">IF(AND('Mapa final'!$AB$41="Media",'Mapa final'!$AD$41="Catastrófico"),CONCATENATE("R6C",'Mapa final'!$R$41),"")</f>
        <v/>
      </c>
      <c r="AI31" s="55" t="str">
        <f>IF(AND('Mapa final'!$AB$42="Media",'Mapa final'!$AD$42="Catastrófico"),CONCATENATE("R6C",'Mapa final'!$R$42),"")</f>
        <v/>
      </c>
      <c r="AJ31" s="55" t="str">
        <f>IF(AND('Mapa final'!$AB$43="Media",'Mapa final'!$AD$43="Catastrófico"),CONCATENATE("R6C",'Mapa final'!$R$43),"")</f>
        <v/>
      </c>
      <c r="AK31" s="55" t="str">
        <f>IF(AND('Mapa final'!$AB$44="Media",'Mapa final'!$AD$44="Catastrófico"),CONCATENATE("R6C",'Mapa final'!$R$44),"")</f>
        <v/>
      </c>
      <c r="AL31" s="55" t="str">
        <f>IF(AND('Mapa final'!$AB$45="Media",'Mapa final'!$AD$45="Catastrófico"),CONCATENATE("R6C",'Mapa final'!$R$45),"")</f>
        <v/>
      </c>
      <c r="AM31" s="56" t="str">
        <f>IF(AND('Mapa final'!$AB$46="Media",'Mapa final'!$AD$46="Catastrófico"),CONCATENATE("R6C",'Mapa final'!$R$46),"")</f>
        <v/>
      </c>
      <c r="AN31" s="83"/>
      <c r="AO31" s="401"/>
      <c r="AP31" s="402"/>
      <c r="AQ31" s="402"/>
      <c r="AR31" s="402"/>
      <c r="AS31" s="402"/>
      <c r="AT31" s="40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4.95" customHeight="1" x14ac:dyDescent="0.3">
      <c r="A32" s="83"/>
      <c r="B32" s="319"/>
      <c r="C32" s="319"/>
      <c r="D32" s="320"/>
      <c r="E32" s="360"/>
      <c r="F32" s="361"/>
      <c r="G32" s="361"/>
      <c r="H32" s="361"/>
      <c r="I32" s="362"/>
      <c r="J32" s="67" t="str">
        <f ca="1">IF(AND('Mapa final'!$AB$47="Media",'Mapa final'!$AD$47="Leve"),CONCATENATE("R7C",'Mapa final'!$R$47),"")</f>
        <v/>
      </c>
      <c r="K32" s="68" t="str">
        <f>IF(AND('Mapa final'!$AB$48="Media",'Mapa final'!$AD$48="Leve"),CONCATENATE("R7C",'Mapa final'!$R$48),"")</f>
        <v/>
      </c>
      <c r="L32" s="68" t="str">
        <f>IF(AND('Mapa final'!$AB$49="Media",'Mapa final'!$AD$49="Leve"),CONCATENATE("R7C",'Mapa final'!$R$49),"")</f>
        <v/>
      </c>
      <c r="M32" s="68" t="str">
        <f>IF(AND('Mapa final'!$AB$50="Media",'Mapa final'!$AD$50="Leve"),CONCATENATE("R7C",'Mapa final'!$R$50),"")</f>
        <v/>
      </c>
      <c r="N32" s="68" t="str">
        <f>IF(AND('Mapa final'!$AB$51="Media",'Mapa final'!$AD$51="Leve"),CONCATENATE("R7C",'Mapa final'!$R$51),"")</f>
        <v/>
      </c>
      <c r="O32" s="69" t="str">
        <f>IF(AND('Mapa final'!$AB$52="Media",'Mapa final'!$AD$52="Leve"),CONCATENATE("R7C",'Mapa final'!$R$52),"")</f>
        <v/>
      </c>
      <c r="P32" s="67" t="str">
        <f ca="1">IF(AND('Mapa final'!$AB$47="Media",'Mapa final'!$AD$47="Menor"),CONCATENATE("R7C",'Mapa final'!$R$47),"")</f>
        <v/>
      </c>
      <c r="Q32" s="68" t="str">
        <f>IF(AND('Mapa final'!$AB$48="Media",'Mapa final'!$AD$48="Menor"),CONCATENATE("R7C",'Mapa final'!$R$48),"")</f>
        <v/>
      </c>
      <c r="R32" s="68" t="str">
        <f>IF(AND('Mapa final'!$AB$49="Media",'Mapa final'!$AD$49="Menor"),CONCATENATE("R7C",'Mapa final'!$R$49),"")</f>
        <v/>
      </c>
      <c r="S32" s="68" t="str">
        <f>IF(AND('Mapa final'!$AB$50="Media",'Mapa final'!$AD$50="Menor"),CONCATENATE("R7C",'Mapa final'!$R$50),"")</f>
        <v/>
      </c>
      <c r="T32" s="68" t="str">
        <f>IF(AND('Mapa final'!$AB$51="Media",'Mapa final'!$AD$51="Menor"),CONCATENATE("R7C",'Mapa final'!$R$51),"")</f>
        <v/>
      </c>
      <c r="U32" s="69" t="str">
        <f>IF(AND('Mapa final'!$AB$52="Media",'Mapa final'!$AD$52="Menor"),CONCATENATE("R7C",'Mapa final'!$R$52),"")</f>
        <v/>
      </c>
      <c r="V32" s="67" t="str">
        <f ca="1">IF(AND('Mapa final'!$AB$47="Media",'Mapa final'!$AD$47="Moderado"),CONCATENATE("R7C",'Mapa final'!$R$47),"")</f>
        <v/>
      </c>
      <c r="W32" s="68" t="str">
        <f>IF(AND('Mapa final'!$AB$48="Media",'Mapa final'!$AD$48="Moderado"),CONCATENATE("R7C",'Mapa final'!$R$48),"")</f>
        <v/>
      </c>
      <c r="X32" s="68" t="str">
        <f>IF(AND('Mapa final'!$AB$49="Media",'Mapa final'!$AD$49="Moderado"),CONCATENATE("R7C",'Mapa final'!$R$49),"")</f>
        <v/>
      </c>
      <c r="Y32" s="68" t="str">
        <f>IF(AND('Mapa final'!$AB$50="Media",'Mapa final'!$AD$50="Moderado"),CONCATENATE("R7C",'Mapa final'!$R$50),"")</f>
        <v/>
      </c>
      <c r="Z32" s="68" t="str">
        <f>IF(AND('Mapa final'!$AB$51="Media",'Mapa final'!$AD$51="Moderado"),CONCATENATE("R7C",'Mapa final'!$R$51),"")</f>
        <v/>
      </c>
      <c r="AA32" s="69" t="str">
        <f>IF(AND('Mapa final'!$AB$52="Media",'Mapa final'!$AD$52="Moderado"),CONCATENATE("R7C",'Mapa final'!$R$52),"")</f>
        <v/>
      </c>
      <c r="AB32" s="51" t="str">
        <f ca="1">IF(AND('Mapa final'!$AB$47="Media",'Mapa final'!$AD$47="Mayor"),CONCATENATE("R7C",'Mapa final'!$R$47),"")</f>
        <v/>
      </c>
      <c r="AC32" s="52" t="str">
        <f>IF(AND('Mapa final'!$AB$48="Media",'Mapa final'!$AD$48="Mayor"),CONCATENATE("R7C",'Mapa final'!$R$48),"")</f>
        <v/>
      </c>
      <c r="AD32" s="57" t="str">
        <f>IF(AND('Mapa final'!$AB$49="Media",'Mapa final'!$AD$49="Mayor"),CONCATENATE("R7C",'Mapa final'!$R$49),"")</f>
        <v/>
      </c>
      <c r="AE32" s="57" t="str">
        <f>IF(AND('Mapa final'!$AB$50="Media",'Mapa final'!$AD$50="Mayor"),CONCATENATE("R7C",'Mapa final'!$R$50),"")</f>
        <v/>
      </c>
      <c r="AF32" s="57" t="str">
        <f>IF(AND('Mapa final'!$AB$51="Media",'Mapa final'!$AD$51="Mayor"),CONCATENATE("R7C",'Mapa final'!$R$51),"")</f>
        <v/>
      </c>
      <c r="AG32" s="53" t="str">
        <f>IF(AND('Mapa final'!$AB$52="Media",'Mapa final'!$AD$52="Mayor"),CONCATENATE("R7C",'Mapa final'!$R$52),"")</f>
        <v/>
      </c>
      <c r="AH32" s="54" t="str">
        <f ca="1">IF(AND('Mapa final'!$AB$47="Media",'Mapa final'!$AD$47="Catastrófico"),CONCATENATE("R7C",'Mapa final'!$R$47),"")</f>
        <v/>
      </c>
      <c r="AI32" s="55" t="str">
        <f>IF(AND('Mapa final'!$AB$48="Media",'Mapa final'!$AD$48="Catastrófico"),CONCATENATE("R7C",'Mapa final'!$R$48),"")</f>
        <v/>
      </c>
      <c r="AJ32" s="55" t="str">
        <f>IF(AND('Mapa final'!$AB$49="Media",'Mapa final'!$AD$49="Catastrófico"),CONCATENATE("R7C",'Mapa final'!$R$49),"")</f>
        <v/>
      </c>
      <c r="AK32" s="55" t="str">
        <f>IF(AND('Mapa final'!$AB$50="Media",'Mapa final'!$AD$50="Catastrófico"),CONCATENATE("R7C",'Mapa final'!$R$50),"")</f>
        <v/>
      </c>
      <c r="AL32" s="55" t="str">
        <f>IF(AND('Mapa final'!$AB$51="Media",'Mapa final'!$AD$51="Catastrófico"),CONCATENATE("R7C",'Mapa final'!$R$51),"")</f>
        <v/>
      </c>
      <c r="AM32" s="56" t="str">
        <f>IF(AND('Mapa final'!$AB$52="Media",'Mapa final'!$AD$52="Catastrófico"),CONCATENATE("R7C",'Mapa final'!$R$52),"")</f>
        <v/>
      </c>
      <c r="AN32" s="83"/>
      <c r="AO32" s="401"/>
      <c r="AP32" s="402"/>
      <c r="AQ32" s="402"/>
      <c r="AR32" s="402"/>
      <c r="AS32" s="402"/>
      <c r="AT32" s="40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4.95" customHeight="1" x14ac:dyDescent="0.3">
      <c r="A33" s="83"/>
      <c r="B33" s="319"/>
      <c r="C33" s="319"/>
      <c r="D33" s="320"/>
      <c r="E33" s="360"/>
      <c r="F33" s="361"/>
      <c r="G33" s="361"/>
      <c r="H33" s="361"/>
      <c r="I33" s="362"/>
      <c r="J33" s="67" t="str">
        <f ca="1">IF(AND('Mapa final'!$AB$53="Media",'Mapa final'!$AD$53="Leve"),CONCATENATE("R8C",'Mapa final'!$R$53),"")</f>
        <v/>
      </c>
      <c r="K33" s="68" t="str">
        <f ca="1">IF(AND('Mapa final'!$AB$54="Media",'Mapa final'!$AD$54="Leve"),CONCATENATE("R8C",'Mapa final'!$R$54),"")</f>
        <v/>
      </c>
      <c r="L33" s="68" t="str">
        <f>IF(AND('Mapa final'!$AB$55="Media",'Mapa final'!$AD$55="Leve"),CONCATENATE("R8C",'Mapa final'!$R$55),"")</f>
        <v/>
      </c>
      <c r="M33" s="68" t="str">
        <f>IF(AND('Mapa final'!$AB$56="Media",'Mapa final'!$AD$56="Leve"),CONCATENATE("R8C",'Mapa final'!$R$56),"")</f>
        <v/>
      </c>
      <c r="N33" s="68" t="str">
        <f>IF(AND('Mapa final'!$AB$57="Media",'Mapa final'!$AD$57="Leve"),CONCATENATE("R8C",'Mapa final'!$R$57),"")</f>
        <v/>
      </c>
      <c r="O33" s="69" t="str">
        <f>IF(AND('Mapa final'!$AB$58="Media",'Mapa final'!$AD$58="Leve"),CONCATENATE("R8C",'Mapa final'!$R$58),"")</f>
        <v/>
      </c>
      <c r="P33" s="67" t="str">
        <f ca="1">IF(AND('Mapa final'!$AB$53="Media",'Mapa final'!$AD$53="Menor"),CONCATENATE("R8C",'Mapa final'!$R$53),"")</f>
        <v/>
      </c>
      <c r="Q33" s="68" t="str">
        <f ca="1">IF(AND('Mapa final'!$AB$54="Media",'Mapa final'!$AD$54="Menor"),CONCATENATE("R8C",'Mapa final'!$R$54),"")</f>
        <v/>
      </c>
      <c r="R33" s="68" t="str">
        <f>IF(AND('Mapa final'!$AB$55="Media",'Mapa final'!$AD$55="Menor"),CONCATENATE("R8C",'Mapa final'!$R$55),"")</f>
        <v/>
      </c>
      <c r="S33" s="68" t="str">
        <f>IF(AND('Mapa final'!$AB$56="Media",'Mapa final'!$AD$56="Menor"),CONCATENATE("R8C",'Mapa final'!$R$56),"")</f>
        <v/>
      </c>
      <c r="T33" s="68" t="str">
        <f>IF(AND('Mapa final'!$AB$57="Media",'Mapa final'!$AD$57="Menor"),CONCATENATE("R8C",'Mapa final'!$R$57),"")</f>
        <v/>
      </c>
      <c r="U33" s="69" t="str">
        <f>IF(AND('Mapa final'!$AB$58="Media",'Mapa final'!$AD$58="Menor"),CONCATENATE("R8C",'Mapa final'!$R$58),"")</f>
        <v/>
      </c>
      <c r="V33" s="67" t="str">
        <f ca="1">IF(AND('Mapa final'!$AB$53="Media",'Mapa final'!$AD$53="Moderado"),CONCATENATE("R8C",'Mapa final'!$R$53),"")</f>
        <v>R8C1</v>
      </c>
      <c r="W33" s="68" t="str">
        <f ca="1">IF(AND('Mapa final'!$AB$54="Media",'Mapa final'!$AD$54="Moderado"),CONCATENATE("R8C",'Mapa final'!$R$54),"")</f>
        <v/>
      </c>
      <c r="X33" s="68" t="str">
        <f>IF(AND('Mapa final'!$AB$55="Media",'Mapa final'!$AD$55="Moderado"),CONCATENATE("R8C",'Mapa final'!$R$55),"")</f>
        <v/>
      </c>
      <c r="Y33" s="68" t="str">
        <f>IF(AND('Mapa final'!$AB$56="Media",'Mapa final'!$AD$56="Moderado"),CONCATENATE("R8C",'Mapa final'!$R$56),"")</f>
        <v/>
      </c>
      <c r="Z33" s="68" t="str">
        <f>IF(AND('Mapa final'!$AB$57="Media",'Mapa final'!$AD$57="Moderado"),CONCATENATE("R8C",'Mapa final'!$R$57),"")</f>
        <v/>
      </c>
      <c r="AA33" s="69" t="str">
        <f>IF(AND('Mapa final'!$AB$58="Media",'Mapa final'!$AD$58="Moderado"),CONCATENATE("R8C",'Mapa final'!$R$58),"")</f>
        <v/>
      </c>
      <c r="AB33" s="51" t="str">
        <f ca="1">IF(AND('Mapa final'!$AB$53="Media",'Mapa final'!$AD$53="Mayor"),CONCATENATE("R8C",'Mapa final'!$R$53),"")</f>
        <v/>
      </c>
      <c r="AC33" s="52" t="str">
        <f ca="1">IF(AND('Mapa final'!$AB$54="Media",'Mapa final'!$AD$54="Mayor"),CONCATENATE("R8C",'Mapa final'!$R$54),"")</f>
        <v/>
      </c>
      <c r="AD33" s="57" t="str">
        <f>IF(AND('Mapa final'!$AB$55="Media",'Mapa final'!$AD$55="Mayor"),CONCATENATE("R8C",'Mapa final'!$R$55),"")</f>
        <v/>
      </c>
      <c r="AE33" s="57" t="str">
        <f>IF(AND('Mapa final'!$AB$56="Media",'Mapa final'!$AD$56="Mayor"),CONCATENATE("R8C",'Mapa final'!$R$56),"")</f>
        <v/>
      </c>
      <c r="AF33" s="57" t="str">
        <f>IF(AND('Mapa final'!$AB$57="Media",'Mapa final'!$AD$57="Mayor"),CONCATENATE("R8C",'Mapa final'!$R$57),"")</f>
        <v/>
      </c>
      <c r="AG33" s="53" t="str">
        <f>IF(AND('Mapa final'!$AB$58="Media",'Mapa final'!$AD$58="Mayor"),CONCATENATE("R8C",'Mapa final'!$R$58),"")</f>
        <v/>
      </c>
      <c r="AH33" s="54" t="str">
        <f ca="1">IF(AND('Mapa final'!$AB$53="Media",'Mapa final'!$AD$53="Catastrófico"),CONCATENATE("R8C",'Mapa final'!$R$53),"")</f>
        <v/>
      </c>
      <c r="AI33" s="55" t="str">
        <f ca="1">IF(AND('Mapa final'!$AB$54="Media",'Mapa final'!$AD$54="Catastrófico"),CONCATENATE("R8C",'Mapa final'!$R$54),"")</f>
        <v/>
      </c>
      <c r="AJ33" s="55" t="str">
        <f>IF(AND('Mapa final'!$AB$55="Media",'Mapa final'!$AD$55="Catastrófico"),CONCATENATE("R8C",'Mapa final'!$R$55),"")</f>
        <v/>
      </c>
      <c r="AK33" s="55" t="str">
        <f>IF(AND('Mapa final'!$AB$56="Media",'Mapa final'!$AD$56="Catastrófico"),CONCATENATE("R8C",'Mapa final'!$R$56),"")</f>
        <v/>
      </c>
      <c r="AL33" s="55" t="str">
        <f>IF(AND('Mapa final'!$AB$57="Media",'Mapa final'!$AD$57="Catastrófico"),CONCATENATE("R8C",'Mapa final'!$R$57),"")</f>
        <v/>
      </c>
      <c r="AM33" s="56" t="str">
        <f>IF(AND('Mapa final'!$AB$58="Media",'Mapa final'!$AD$58="Catastrófico"),CONCATENATE("R8C",'Mapa final'!$R$58),"")</f>
        <v/>
      </c>
      <c r="AN33" s="83"/>
      <c r="AO33" s="401"/>
      <c r="AP33" s="402"/>
      <c r="AQ33" s="402"/>
      <c r="AR33" s="402"/>
      <c r="AS33" s="402"/>
      <c r="AT33" s="40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4.95" customHeight="1" x14ac:dyDescent="0.3">
      <c r="A34" s="83"/>
      <c r="B34" s="319"/>
      <c r="C34" s="319"/>
      <c r="D34" s="320"/>
      <c r="E34" s="360"/>
      <c r="F34" s="361"/>
      <c r="G34" s="361"/>
      <c r="H34" s="361"/>
      <c r="I34" s="362"/>
      <c r="J34" s="67" t="str">
        <f ca="1">IF(AND('Mapa final'!$AB$59="Media",'Mapa final'!$AD$59="Leve"),CONCATENATE("R9C",'Mapa final'!$R$59),"")</f>
        <v/>
      </c>
      <c r="K34" s="68" t="str">
        <f>IF(AND('Mapa final'!$AB$60="Media",'Mapa final'!$AD$60="Leve"),CONCATENATE("R9C",'Mapa final'!$R$60),"")</f>
        <v/>
      </c>
      <c r="L34" s="68" t="str">
        <f>IF(AND('Mapa final'!$AB$61="Media",'Mapa final'!$AD$61="Leve"),CONCATENATE("R9C",'Mapa final'!$R$61),"")</f>
        <v/>
      </c>
      <c r="M34" s="68" t="str">
        <f>IF(AND('Mapa final'!$AB$62="Media",'Mapa final'!$AD$62="Leve"),CONCATENATE("R9C",'Mapa final'!$R$62),"")</f>
        <v/>
      </c>
      <c r="N34" s="68" t="str">
        <f>IF(AND('Mapa final'!$AB$63="Media",'Mapa final'!$AD$63="Leve"),CONCATENATE("R9C",'Mapa final'!$R$63),"")</f>
        <v/>
      </c>
      <c r="O34" s="69" t="str">
        <f>IF(AND('Mapa final'!$AB$64="Media",'Mapa final'!$AD$64="Leve"),CONCATENATE("R9C",'Mapa final'!$R$64),"")</f>
        <v/>
      </c>
      <c r="P34" s="67" t="str">
        <f ca="1">IF(AND('Mapa final'!$AB$59="Media",'Mapa final'!$AD$59="Menor"),CONCATENATE("R9C",'Mapa final'!$R$59),"")</f>
        <v/>
      </c>
      <c r="Q34" s="68" t="str">
        <f>IF(AND('Mapa final'!$AB$60="Media",'Mapa final'!$AD$60="Menor"),CONCATENATE("R9C",'Mapa final'!$R$60),"")</f>
        <v/>
      </c>
      <c r="R34" s="68" t="str">
        <f>IF(AND('Mapa final'!$AB$61="Media",'Mapa final'!$AD$61="Menor"),CONCATENATE("R9C",'Mapa final'!$R$61),"")</f>
        <v/>
      </c>
      <c r="S34" s="68" t="str">
        <f>IF(AND('Mapa final'!$AB$62="Media",'Mapa final'!$AD$62="Menor"),CONCATENATE("R9C",'Mapa final'!$R$62),"")</f>
        <v/>
      </c>
      <c r="T34" s="68" t="str">
        <f>IF(AND('Mapa final'!$AB$63="Media",'Mapa final'!$AD$63="Menor"),CONCATENATE("R9C",'Mapa final'!$R$63),"")</f>
        <v/>
      </c>
      <c r="U34" s="69" t="str">
        <f>IF(AND('Mapa final'!$AB$64="Media",'Mapa final'!$AD$64="Menor"),CONCATENATE("R9C",'Mapa final'!$R$64),"")</f>
        <v/>
      </c>
      <c r="V34" s="67" t="str">
        <f ca="1">IF(AND('Mapa final'!$AB$59="Media",'Mapa final'!$AD$59="Moderado"),CONCATENATE("R9C",'Mapa final'!$R$59),"")</f>
        <v/>
      </c>
      <c r="W34" s="68" t="str">
        <f>IF(AND('Mapa final'!$AB$60="Media",'Mapa final'!$AD$60="Moderado"),CONCATENATE("R9C",'Mapa final'!$R$60),"")</f>
        <v/>
      </c>
      <c r="X34" s="68" t="str">
        <f>IF(AND('Mapa final'!$AB$61="Media",'Mapa final'!$AD$61="Moderado"),CONCATENATE("R9C",'Mapa final'!$R$61),"")</f>
        <v/>
      </c>
      <c r="Y34" s="68" t="str">
        <f>IF(AND('Mapa final'!$AB$62="Media",'Mapa final'!$AD$62="Moderado"),CONCATENATE("R9C",'Mapa final'!$R$62),"")</f>
        <v/>
      </c>
      <c r="Z34" s="68" t="str">
        <f>IF(AND('Mapa final'!$AB$63="Media",'Mapa final'!$AD$63="Moderado"),CONCATENATE("R9C",'Mapa final'!$R$63),"")</f>
        <v/>
      </c>
      <c r="AA34" s="69" t="str">
        <f>IF(AND('Mapa final'!$AB$64="Media",'Mapa final'!$AD$64="Moderado"),CONCATENATE("R9C",'Mapa final'!$R$64),"")</f>
        <v/>
      </c>
      <c r="AB34" s="51" t="str">
        <f ca="1">IF(AND('Mapa final'!$AB$59="Media",'Mapa final'!$AD$59="Mayor"),CONCATENATE("R9C",'Mapa final'!$R$59),"")</f>
        <v/>
      </c>
      <c r="AC34" s="52" t="str">
        <f>IF(AND('Mapa final'!$AB$60="Media",'Mapa final'!$AD$60="Mayor"),CONCATENATE("R9C",'Mapa final'!$R$60),"")</f>
        <v/>
      </c>
      <c r="AD34" s="57" t="str">
        <f>IF(AND('Mapa final'!$AB$61="Media",'Mapa final'!$AD$61="Mayor"),CONCATENATE("R9C",'Mapa final'!$R$61),"")</f>
        <v/>
      </c>
      <c r="AE34" s="57" t="str">
        <f>IF(AND('Mapa final'!$AB$62="Media",'Mapa final'!$AD$62="Mayor"),CONCATENATE("R9C",'Mapa final'!$R$62),"")</f>
        <v/>
      </c>
      <c r="AF34" s="57" t="str">
        <f>IF(AND('Mapa final'!$AB$63="Media",'Mapa final'!$AD$63="Mayor"),CONCATENATE("R9C",'Mapa final'!$R$63),"")</f>
        <v/>
      </c>
      <c r="AG34" s="53" t="str">
        <f>IF(AND('Mapa final'!$AB$64="Media",'Mapa final'!$AD$64="Mayor"),CONCATENATE("R9C",'Mapa final'!$R$64),"")</f>
        <v/>
      </c>
      <c r="AH34" s="54" t="str">
        <f ca="1">IF(AND('Mapa final'!$AB$59="Media",'Mapa final'!$AD$59="Catastrófico"),CONCATENATE("R9C",'Mapa final'!$R$59),"")</f>
        <v/>
      </c>
      <c r="AI34" s="55" t="str">
        <f>IF(AND('Mapa final'!$AB$60="Media",'Mapa final'!$AD$60="Catastrófico"),CONCATENATE("R9C",'Mapa final'!$R$60),"")</f>
        <v/>
      </c>
      <c r="AJ34" s="55" t="str">
        <f>IF(AND('Mapa final'!$AB$61="Media",'Mapa final'!$AD$61="Catastrófico"),CONCATENATE("R9C",'Mapa final'!$R$61),"")</f>
        <v/>
      </c>
      <c r="AK34" s="55" t="str">
        <f>IF(AND('Mapa final'!$AB$62="Media",'Mapa final'!$AD$62="Catastrófico"),CONCATENATE("R9C",'Mapa final'!$R$62),"")</f>
        <v/>
      </c>
      <c r="AL34" s="55" t="str">
        <f>IF(AND('Mapa final'!$AB$63="Media",'Mapa final'!$AD$63="Catastrófico"),CONCATENATE("R9C",'Mapa final'!$R$63),"")</f>
        <v/>
      </c>
      <c r="AM34" s="56" t="str">
        <f>IF(AND('Mapa final'!$AB$64="Media",'Mapa final'!$AD$64="Catastrófico"),CONCATENATE("R9C",'Mapa final'!$R$64),"")</f>
        <v/>
      </c>
      <c r="AN34" s="83"/>
      <c r="AO34" s="401"/>
      <c r="AP34" s="402"/>
      <c r="AQ34" s="402"/>
      <c r="AR34" s="402"/>
      <c r="AS34" s="402"/>
      <c r="AT34" s="40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8" customHeight="1" thickBot="1" x14ac:dyDescent="0.35">
      <c r="A35" s="83"/>
      <c r="B35" s="319"/>
      <c r="C35" s="319"/>
      <c r="D35" s="320"/>
      <c r="E35" s="363"/>
      <c r="F35" s="364"/>
      <c r="G35" s="364"/>
      <c r="H35" s="364"/>
      <c r="I35" s="365"/>
      <c r="J35" s="67" t="str">
        <f>IF(AND('Mapa final'!$AB$65="Media",'Mapa final'!$AD$65="Leve"),CONCATENATE("R10C",'Mapa final'!$R$65),"")</f>
        <v/>
      </c>
      <c r="K35" s="68" t="str">
        <f>IF(AND('Mapa final'!$AB$66="Media",'Mapa final'!$AD$66="Leve"),CONCATENATE("R10C",'Mapa final'!$R$66),"")</f>
        <v/>
      </c>
      <c r="L35" s="68" t="str">
        <f>IF(AND('Mapa final'!$AB$67="Media",'Mapa final'!$AD$67="Leve"),CONCATENATE("R10C",'Mapa final'!$R$67),"")</f>
        <v/>
      </c>
      <c r="M35" s="68" t="str">
        <f>IF(AND('Mapa final'!$AB$68="Media",'Mapa final'!$AD$68="Leve"),CONCATENATE("R10C",'Mapa final'!$R$68),"")</f>
        <v/>
      </c>
      <c r="N35" s="68" t="str">
        <f>IF(AND('Mapa final'!$AB$69="Media",'Mapa final'!$AD$69="Leve"),CONCATENATE("R10C",'Mapa final'!$R$69),"")</f>
        <v/>
      </c>
      <c r="O35" s="69" t="str">
        <f>IF(AND('Mapa final'!$AB$70="Media",'Mapa final'!$AD$70="Leve"),CONCATENATE("R10C",'Mapa final'!$R$70),"")</f>
        <v/>
      </c>
      <c r="P35" s="67" t="str">
        <f>IF(AND('Mapa final'!$AB$65="Media",'Mapa final'!$AD$65="Menor"),CONCATENATE("R10C",'Mapa final'!$R$65),"")</f>
        <v/>
      </c>
      <c r="Q35" s="68" t="str">
        <f>IF(AND('Mapa final'!$AB$66="Media",'Mapa final'!$AD$66="Menor"),CONCATENATE("R10C",'Mapa final'!$R$66),"")</f>
        <v/>
      </c>
      <c r="R35" s="68" t="str">
        <f>IF(AND('Mapa final'!$AB$67="Media",'Mapa final'!$AD$67="Menor"),CONCATENATE("R10C",'Mapa final'!$R$67),"")</f>
        <v/>
      </c>
      <c r="S35" s="68" t="str">
        <f>IF(AND('Mapa final'!$AB$68="Media",'Mapa final'!$AD$68="Menor"),CONCATENATE("R10C",'Mapa final'!$R$68),"")</f>
        <v/>
      </c>
      <c r="T35" s="68" t="str">
        <f>IF(AND('Mapa final'!$AB$69="Media",'Mapa final'!$AD$69="Menor"),CONCATENATE("R10C",'Mapa final'!$R$69),"")</f>
        <v/>
      </c>
      <c r="U35" s="69" t="str">
        <f>IF(AND('Mapa final'!$AB$70="Media",'Mapa final'!$AD$70="Menor"),CONCATENATE("R10C",'Mapa final'!$R$70),"")</f>
        <v/>
      </c>
      <c r="V35" s="67" t="str">
        <f>IF(AND('Mapa final'!$AB$65="Media",'Mapa final'!$AD$65="Moderado"),CONCATENATE("R10C",'Mapa final'!$R$65),"")</f>
        <v/>
      </c>
      <c r="W35" s="68" t="str">
        <f>IF(AND('Mapa final'!$AB$66="Media",'Mapa final'!$AD$66="Moderado"),CONCATENATE("R10C",'Mapa final'!$R$66),"")</f>
        <v/>
      </c>
      <c r="X35" s="68" t="str">
        <f>IF(AND('Mapa final'!$AB$67="Media",'Mapa final'!$AD$67="Moderado"),CONCATENATE("R10C",'Mapa final'!$R$67),"")</f>
        <v/>
      </c>
      <c r="Y35" s="68" t="str">
        <f>IF(AND('Mapa final'!$AB$68="Media",'Mapa final'!$AD$68="Moderado"),CONCATENATE("R10C",'Mapa final'!$R$68),"")</f>
        <v/>
      </c>
      <c r="Z35" s="68" t="str">
        <f>IF(AND('Mapa final'!$AB$69="Media",'Mapa final'!$AD$69="Moderado"),CONCATENATE("R10C",'Mapa final'!$R$69),"")</f>
        <v/>
      </c>
      <c r="AA35" s="69" t="str">
        <f>IF(AND('Mapa final'!$AB$70="Media",'Mapa final'!$AD$70="Moderado"),CONCATENATE("R10C",'Mapa final'!$R$70),"")</f>
        <v/>
      </c>
      <c r="AB35" s="58" t="str">
        <f>IF(AND('Mapa final'!$AB$65="Media",'Mapa final'!$AD$65="Mayor"),CONCATENATE("R10C",'Mapa final'!$R$65),"")</f>
        <v/>
      </c>
      <c r="AC35" s="59" t="str">
        <f>IF(AND('Mapa final'!$AB$66="Media",'Mapa final'!$AD$66="Mayor"),CONCATENATE("R10C",'Mapa final'!$R$66),"")</f>
        <v/>
      </c>
      <c r="AD35" s="59" t="str">
        <f>IF(AND('Mapa final'!$AB$67="Media",'Mapa final'!$AD$67="Mayor"),CONCATENATE("R10C",'Mapa final'!$R$67),"")</f>
        <v/>
      </c>
      <c r="AE35" s="59" t="str">
        <f>IF(AND('Mapa final'!$AB$68="Media",'Mapa final'!$AD$68="Mayor"),CONCATENATE("R10C",'Mapa final'!$R$68),"")</f>
        <v/>
      </c>
      <c r="AF35" s="59" t="str">
        <f>IF(AND('Mapa final'!$AB$69="Media",'Mapa final'!$AD$69="Mayor"),CONCATENATE("R10C",'Mapa final'!$R$69),"")</f>
        <v/>
      </c>
      <c r="AG35" s="60" t="str">
        <f>IF(AND('Mapa final'!$AB$70="Media",'Mapa final'!$AD$70="Mayor"),CONCATENATE("R10C",'Mapa final'!$R$70),"")</f>
        <v/>
      </c>
      <c r="AH35" s="61" t="str">
        <f>IF(AND('Mapa final'!$AB$65="Media",'Mapa final'!$AD$65="Catastrófico"),CONCATENATE("R10C",'Mapa final'!$R$65),"")</f>
        <v/>
      </c>
      <c r="AI35" s="62" t="str">
        <f>IF(AND('Mapa final'!$AB$66="Media",'Mapa final'!$AD$66="Catastrófico"),CONCATENATE("R10C",'Mapa final'!$R$66),"")</f>
        <v/>
      </c>
      <c r="AJ35" s="62" t="str">
        <f>IF(AND('Mapa final'!$AB$67="Media",'Mapa final'!$AD$67="Catastrófico"),CONCATENATE("R10C",'Mapa final'!$R$67),"")</f>
        <v/>
      </c>
      <c r="AK35" s="62" t="str">
        <f>IF(AND('Mapa final'!$AB$68="Media",'Mapa final'!$AD$68="Catastrófico"),CONCATENATE("R10C",'Mapa final'!$R$68),"")</f>
        <v/>
      </c>
      <c r="AL35" s="62" t="str">
        <f>IF(AND('Mapa final'!$AB$69="Media",'Mapa final'!$AD$69="Catastrófico"),CONCATENATE("R10C",'Mapa final'!$R$69),"")</f>
        <v/>
      </c>
      <c r="AM35" s="63" t="str">
        <f>IF(AND('Mapa final'!$AB$70="Media",'Mapa final'!$AD$70="Catastrófico"),CONCATENATE("R10C",'Mapa final'!$R$70),"")</f>
        <v/>
      </c>
      <c r="AN35" s="83"/>
      <c r="AO35" s="404"/>
      <c r="AP35" s="405"/>
      <c r="AQ35" s="405"/>
      <c r="AR35" s="405"/>
      <c r="AS35" s="405"/>
      <c r="AT35" s="406"/>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4.95" customHeight="1" x14ac:dyDescent="0.3">
      <c r="A36" s="83"/>
      <c r="B36" s="319"/>
      <c r="C36" s="319"/>
      <c r="D36" s="320"/>
      <c r="E36" s="357" t="s">
        <v>106</v>
      </c>
      <c r="F36" s="358"/>
      <c r="G36" s="358"/>
      <c r="H36" s="358"/>
      <c r="I36" s="358"/>
      <c r="J36" s="73" t="str">
        <f ca="1">IF(AND('Mapa final'!$AB$11="Baja",'Mapa final'!$AD$11="Leve"),CONCATENATE("R1C",'Mapa final'!$R$11),"")</f>
        <v/>
      </c>
      <c r="K36" s="74" t="str">
        <f ca="1">IF(AND('Mapa final'!$AB$12="Baja",'Mapa final'!$AD$12="Leve"),CONCATENATE("R1C",'Mapa final'!$R$12),"")</f>
        <v/>
      </c>
      <c r="L36" s="74" t="str">
        <f>IF(AND('Mapa final'!$AB$13="Baja",'Mapa final'!$AD$13="Leve"),CONCATENATE("R1C",'Mapa final'!$R$13),"")</f>
        <v/>
      </c>
      <c r="M36" s="74" t="str">
        <f>IF(AND('Mapa final'!$AB$14="Baja",'Mapa final'!$AD$14="Leve"),CONCATENATE("R1C",'Mapa final'!$R$14),"")</f>
        <v/>
      </c>
      <c r="N36" s="74" t="str">
        <f>IF(AND('Mapa final'!$AB$15="Baja",'Mapa final'!$AD$15="Leve"),CONCATENATE("R1C",'Mapa final'!$R$15),"")</f>
        <v/>
      </c>
      <c r="O36" s="75" t="str">
        <f>IF(AND('Mapa final'!$AB$16="Baja",'Mapa final'!$AD$16="Leve"),CONCATENATE("R1C",'Mapa final'!$R$16),"")</f>
        <v/>
      </c>
      <c r="P36" s="64" t="str">
        <f ca="1">IF(AND('Mapa final'!$AB$11="Baja",'Mapa final'!$AD$11="Menor"),CONCATENATE("R1C",'Mapa final'!$R$11),"")</f>
        <v/>
      </c>
      <c r="Q36" s="65" t="str">
        <f ca="1">IF(AND('Mapa final'!$AB$12="Baja",'Mapa final'!$AD$12="Menor"),CONCATENATE("R1C",'Mapa final'!$R$12),"")</f>
        <v/>
      </c>
      <c r="R36" s="65" t="str">
        <f>IF(AND('Mapa final'!$AB$13="Baja",'Mapa final'!$AD$13="Menor"),CONCATENATE("R1C",'Mapa final'!$R$13),"")</f>
        <v/>
      </c>
      <c r="S36" s="65" t="str">
        <f>IF(AND('Mapa final'!$AB$14="Baja",'Mapa final'!$AD$14="Menor"),CONCATENATE("R1C",'Mapa final'!$R$14),"")</f>
        <v/>
      </c>
      <c r="T36" s="65" t="str">
        <f>IF(AND('Mapa final'!$AB$15="Baja",'Mapa final'!$AD$15="Menor"),CONCATENATE("R1C",'Mapa final'!$R$15),"")</f>
        <v/>
      </c>
      <c r="U36" s="66" t="str">
        <f>IF(AND('Mapa final'!$AB$16="Baja",'Mapa final'!$AD$16="Menor"),CONCATENATE("R1C",'Mapa final'!$R$16),"")</f>
        <v/>
      </c>
      <c r="V36" s="64" t="str">
        <f ca="1">IF(AND('Mapa final'!$AB$11="Baja",'Mapa final'!$AD$11="Moderado"),CONCATENATE("R1C",'Mapa final'!$R$11),"")</f>
        <v/>
      </c>
      <c r="W36" s="65" t="str">
        <f ca="1">IF(AND('Mapa final'!$AB$12="Baja",'Mapa final'!$AD$12="Moderado"),CONCATENATE("R1C",'Mapa final'!$R$12),"")</f>
        <v>R1C2</v>
      </c>
      <c r="X36" s="65" t="str">
        <f>IF(AND('Mapa final'!$AB$13="Baja",'Mapa final'!$AD$13="Moderado"),CONCATENATE("R1C",'Mapa final'!$R$13),"")</f>
        <v/>
      </c>
      <c r="Y36" s="65" t="str">
        <f>IF(AND('Mapa final'!$AB$14="Baja",'Mapa final'!$AD$14="Moderado"),CONCATENATE("R1C",'Mapa final'!$R$14),"")</f>
        <v/>
      </c>
      <c r="Z36" s="65" t="str">
        <f>IF(AND('Mapa final'!$AB$15="Baja",'Mapa final'!$AD$15="Moderado"),CONCATENATE("R1C",'Mapa final'!$R$15),"")</f>
        <v/>
      </c>
      <c r="AA36" s="66" t="str">
        <f>IF(AND('Mapa final'!$AB$16="Baja",'Mapa final'!$AD$16="Moderado"),CONCATENATE("R1C",'Mapa final'!$R$16),"")</f>
        <v/>
      </c>
      <c r="AB36" s="45" t="str">
        <f ca="1">IF(AND('Mapa final'!$AB$11="Baja",'Mapa final'!$AD$11="Mayor"),CONCATENATE("R1C",'Mapa final'!$R$11),"")</f>
        <v/>
      </c>
      <c r="AC36" s="46" t="str">
        <f ca="1">IF(AND('Mapa final'!$AB$12="Baja",'Mapa final'!$AD$12="Mayor"),CONCATENATE("R1C",'Mapa final'!$R$12),"")</f>
        <v/>
      </c>
      <c r="AD36" s="46" t="str">
        <f>IF(AND('Mapa final'!$AB$13="Baja",'Mapa final'!$AD$13="Mayor"),CONCATENATE("R1C",'Mapa final'!$R$13),"")</f>
        <v/>
      </c>
      <c r="AE36" s="46" t="str">
        <f>IF(AND('Mapa final'!$AB$14="Baja",'Mapa final'!$AD$14="Mayor"),CONCATENATE("R1C",'Mapa final'!$R$14),"")</f>
        <v/>
      </c>
      <c r="AF36" s="46" t="str">
        <f>IF(AND('Mapa final'!$AB$15="Baja",'Mapa final'!$AD$15="Mayor"),CONCATENATE("R1C",'Mapa final'!$R$15),"")</f>
        <v/>
      </c>
      <c r="AG36" s="47" t="str">
        <f>IF(AND('Mapa final'!$AB$16="Baja",'Mapa final'!$AD$16="Mayor"),CONCATENATE("R1C",'Mapa final'!$R$16),"")</f>
        <v/>
      </c>
      <c r="AH36" s="48" t="str">
        <f ca="1">IF(AND('Mapa final'!$AB$11="Baja",'Mapa final'!$AD$11="Catastrófico"),CONCATENATE("R1C",'Mapa final'!$R$11),"")</f>
        <v/>
      </c>
      <c r="AI36" s="49" t="str">
        <f ca="1">IF(AND('Mapa final'!$AB$12="Baja",'Mapa final'!$AD$12="Catastrófico"),CONCATENATE("R1C",'Mapa final'!$R$12),"")</f>
        <v/>
      </c>
      <c r="AJ36" s="49" t="str">
        <f>IF(AND('Mapa final'!$AB$13="Baja",'Mapa final'!$AD$13="Catastrófico"),CONCATENATE("R1C",'Mapa final'!$R$13),"")</f>
        <v/>
      </c>
      <c r="AK36" s="49" t="str">
        <f>IF(AND('Mapa final'!$AB$14="Baja",'Mapa final'!$AD$14="Catastrófico"),CONCATENATE("R1C",'Mapa final'!$R$14),"")</f>
        <v/>
      </c>
      <c r="AL36" s="49" t="str">
        <f>IF(AND('Mapa final'!$AB$15="Baja",'Mapa final'!$AD$15="Catastrófico"),CONCATENATE("R1C",'Mapa final'!$R$15),"")</f>
        <v/>
      </c>
      <c r="AM36" s="50" t="str">
        <f>IF(AND('Mapa final'!$AB$16="Baja",'Mapa final'!$AD$16="Catastrófico"),CONCATENATE("R1C",'Mapa final'!$R$16),"")</f>
        <v/>
      </c>
      <c r="AN36" s="83"/>
      <c r="AO36" s="389" t="s">
        <v>79</v>
      </c>
      <c r="AP36" s="390"/>
      <c r="AQ36" s="390"/>
      <c r="AR36" s="390"/>
      <c r="AS36" s="390"/>
      <c r="AT36" s="391"/>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4.95" customHeight="1" x14ac:dyDescent="0.3">
      <c r="A37" s="83"/>
      <c r="B37" s="319"/>
      <c r="C37" s="319"/>
      <c r="D37" s="320"/>
      <c r="E37" s="376"/>
      <c r="F37" s="377"/>
      <c r="G37" s="377"/>
      <c r="H37" s="377"/>
      <c r="I37" s="377"/>
      <c r="J37" s="76" t="str">
        <f ca="1">IF(AND('Mapa final'!$AB$17="Baja",'Mapa final'!$AD$17="Leve"),CONCATENATE("R2C",'Mapa final'!$R$17),"")</f>
        <v/>
      </c>
      <c r="K37" s="77" t="str">
        <f>IF(AND('Mapa final'!$AB$18="Baja",'Mapa final'!$AD$18="Leve"),CONCATENATE("R2C",'Mapa final'!$R$18),"")</f>
        <v/>
      </c>
      <c r="L37" s="77" t="str">
        <f>IF(AND('Mapa final'!$AB$19="Baja",'Mapa final'!$AD$19="Leve"),CONCATENATE("R2C",'Mapa final'!$R$19),"")</f>
        <v/>
      </c>
      <c r="M37" s="77" t="str">
        <f>IF(AND('Mapa final'!$AB$20="Baja",'Mapa final'!$AD$20="Leve"),CONCATENATE("R2C",'Mapa final'!$R$20),"")</f>
        <v/>
      </c>
      <c r="N37" s="77" t="str">
        <f>IF(AND('Mapa final'!$AB$21="Baja",'Mapa final'!$AD$21="Leve"),CONCATENATE("R2C",'Mapa final'!$R$21),"")</f>
        <v/>
      </c>
      <c r="O37" s="78" t="str">
        <f>IF(AND('Mapa final'!$AB$22="Baja",'Mapa final'!$AD$22="Leve"),CONCATENATE("R2C",'Mapa final'!$R$22),"")</f>
        <v/>
      </c>
      <c r="P37" s="67" t="str">
        <f ca="1">IF(AND('Mapa final'!$AB$17="Baja",'Mapa final'!$AD$17="Menor"),CONCATENATE("R2C",'Mapa final'!$R$17),"")</f>
        <v/>
      </c>
      <c r="Q37" s="68" t="str">
        <f>IF(AND('Mapa final'!$AB$18="Baja",'Mapa final'!$AD$18="Menor"),CONCATENATE("R2C",'Mapa final'!$R$18),"")</f>
        <v/>
      </c>
      <c r="R37" s="68" t="str">
        <f>IF(AND('Mapa final'!$AB$19="Baja",'Mapa final'!$AD$19="Menor"),CONCATENATE("R2C",'Mapa final'!$R$19),"")</f>
        <v/>
      </c>
      <c r="S37" s="68" t="str">
        <f>IF(AND('Mapa final'!$AB$20="Baja",'Mapa final'!$AD$20="Menor"),CONCATENATE("R2C",'Mapa final'!$R$20),"")</f>
        <v/>
      </c>
      <c r="T37" s="68" t="str">
        <f>IF(AND('Mapa final'!$AB$21="Baja",'Mapa final'!$AD$21="Menor"),CONCATENATE("R2C",'Mapa final'!$R$21),"")</f>
        <v/>
      </c>
      <c r="U37" s="69" t="str">
        <f>IF(AND('Mapa final'!$AB$22="Baja",'Mapa final'!$AD$22="Menor"),CONCATENATE("R2C",'Mapa final'!$R$22),"")</f>
        <v/>
      </c>
      <c r="V37" s="67" t="str">
        <f ca="1">IF(AND('Mapa final'!$AB$17="Baja",'Mapa final'!$AD$17="Moderado"),CONCATENATE("R2C",'Mapa final'!$R$17),"")</f>
        <v>R2C1</v>
      </c>
      <c r="W37" s="68" t="str">
        <f>IF(AND('Mapa final'!$AB$18="Baja",'Mapa final'!$AD$18="Moderado"),CONCATENATE("R2C",'Mapa final'!$R$18),"")</f>
        <v/>
      </c>
      <c r="X37" s="68" t="str">
        <f>IF(AND('Mapa final'!$AB$19="Baja",'Mapa final'!$AD$19="Moderado"),CONCATENATE("R2C",'Mapa final'!$R$19),"")</f>
        <v/>
      </c>
      <c r="Y37" s="68" t="str">
        <f>IF(AND('Mapa final'!$AB$20="Baja",'Mapa final'!$AD$20="Moderado"),CONCATENATE("R2C",'Mapa final'!$R$20),"")</f>
        <v/>
      </c>
      <c r="Z37" s="68" t="str">
        <f>IF(AND('Mapa final'!$AB$21="Baja",'Mapa final'!$AD$21="Moderado"),CONCATENATE("R2C",'Mapa final'!$R$21),"")</f>
        <v/>
      </c>
      <c r="AA37" s="69" t="str">
        <f>IF(AND('Mapa final'!$AB$22="Baja",'Mapa final'!$AD$22="Moderado"),CONCATENATE("R2C",'Mapa final'!$R$22),"")</f>
        <v/>
      </c>
      <c r="AB37" s="51" t="str">
        <f ca="1">IF(AND('Mapa final'!$AB$17="Baja",'Mapa final'!$AD$17="Mayor"),CONCATENATE("R2C",'Mapa final'!$R$17),"")</f>
        <v/>
      </c>
      <c r="AC37" s="52" t="str">
        <f>IF(AND('Mapa final'!$AB$18="Baja",'Mapa final'!$AD$18="Mayor"),CONCATENATE("R2C",'Mapa final'!$R$18),"")</f>
        <v/>
      </c>
      <c r="AD37" s="52" t="str">
        <f>IF(AND('Mapa final'!$AB$19="Baja",'Mapa final'!$AD$19="Mayor"),CONCATENATE("R2C",'Mapa final'!$R$19),"")</f>
        <v/>
      </c>
      <c r="AE37" s="52" t="str">
        <f>IF(AND('Mapa final'!$AB$20="Baja",'Mapa final'!$AD$20="Mayor"),CONCATENATE("R2C",'Mapa final'!$R$20),"")</f>
        <v/>
      </c>
      <c r="AF37" s="52" t="str">
        <f>IF(AND('Mapa final'!$AB$21="Baja",'Mapa final'!$AD$21="Mayor"),CONCATENATE("R2C",'Mapa final'!$R$21),"")</f>
        <v/>
      </c>
      <c r="AG37" s="53" t="str">
        <f>IF(AND('Mapa final'!$AB$22="Baja",'Mapa final'!$AD$22="Mayor"),CONCATENATE("R2C",'Mapa final'!$R$22),"")</f>
        <v/>
      </c>
      <c r="AH37" s="54" t="str">
        <f ca="1">IF(AND('Mapa final'!$AB$17="Baja",'Mapa final'!$AD$17="Catastrófico"),CONCATENATE("R2C",'Mapa final'!$R$17),"")</f>
        <v/>
      </c>
      <c r="AI37" s="55" t="str">
        <f>IF(AND('Mapa final'!$AB$18="Baja",'Mapa final'!$AD$18="Catastrófico"),CONCATENATE("R2C",'Mapa final'!$R$18),"")</f>
        <v/>
      </c>
      <c r="AJ37" s="55" t="str">
        <f>IF(AND('Mapa final'!$AB$19="Baja",'Mapa final'!$AD$19="Catastrófico"),CONCATENATE("R2C",'Mapa final'!$R$19),"")</f>
        <v/>
      </c>
      <c r="AK37" s="55" t="str">
        <f>IF(AND('Mapa final'!$AB$20="Baja",'Mapa final'!$AD$20="Catastrófico"),CONCATENATE("R2C",'Mapa final'!$R$20),"")</f>
        <v/>
      </c>
      <c r="AL37" s="55" t="str">
        <f>IF(AND('Mapa final'!$AB$21="Baja",'Mapa final'!$AD$21="Catastrófico"),CONCATENATE("R2C",'Mapa final'!$R$21),"")</f>
        <v/>
      </c>
      <c r="AM37" s="56" t="str">
        <f>IF(AND('Mapa final'!$AB$22="Baja",'Mapa final'!$AD$22="Catastrófico"),CONCATENATE("R2C",'Mapa final'!$R$22),"")</f>
        <v/>
      </c>
      <c r="AN37" s="83"/>
      <c r="AO37" s="392"/>
      <c r="AP37" s="393"/>
      <c r="AQ37" s="393"/>
      <c r="AR37" s="393"/>
      <c r="AS37" s="393"/>
      <c r="AT37" s="394"/>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4.95" customHeight="1" x14ac:dyDescent="0.3">
      <c r="A38" s="83"/>
      <c r="B38" s="319"/>
      <c r="C38" s="319"/>
      <c r="D38" s="320"/>
      <c r="E38" s="360"/>
      <c r="F38" s="361"/>
      <c r="G38" s="361"/>
      <c r="H38" s="361"/>
      <c r="I38" s="377"/>
      <c r="J38" s="76" t="str">
        <f ca="1">IF(AND('Mapa final'!$AB$23="Baja",'Mapa final'!$AD$23="Leve"),CONCATENATE("R3C",'Mapa final'!$R$23),"")</f>
        <v/>
      </c>
      <c r="K38" s="77" t="str">
        <f ca="1">IF(AND('Mapa final'!$AB$24="Baja",'Mapa final'!$AD$24="Leve"),CONCATENATE("R3C",'Mapa final'!$R$24),"")</f>
        <v/>
      </c>
      <c r="L38" s="77" t="str">
        <f>IF(AND('Mapa final'!$AB$25="Baja",'Mapa final'!$AD$25="Leve"),CONCATENATE("R3C",'Mapa final'!$R$25),"")</f>
        <v/>
      </c>
      <c r="M38" s="77" t="str">
        <f>IF(AND('Mapa final'!$AB$26="Baja",'Mapa final'!$AD$26="Leve"),CONCATENATE("R3C",'Mapa final'!$R$26),"")</f>
        <v/>
      </c>
      <c r="N38" s="77" t="str">
        <f>IF(AND('Mapa final'!$AB$27="Baja",'Mapa final'!$AD$27="Leve"),CONCATENATE("R3C",'Mapa final'!$R$27),"")</f>
        <v/>
      </c>
      <c r="O38" s="78" t="str">
        <f>IF(AND('Mapa final'!$AB$28="Baja",'Mapa final'!$AD$28="Leve"),CONCATENATE("R3C",'Mapa final'!$R$28),"")</f>
        <v/>
      </c>
      <c r="P38" s="67" t="str">
        <f ca="1">IF(AND('Mapa final'!$AB$23="Baja",'Mapa final'!$AD$23="Menor"),CONCATENATE("R3C",'Mapa final'!$R$23),"")</f>
        <v/>
      </c>
      <c r="Q38" s="68" t="str">
        <f ca="1">IF(AND('Mapa final'!$AB$24="Baja",'Mapa final'!$AD$24="Menor"),CONCATENATE("R3C",'Mapa final'!$R$24),"")</f>
        <v/>
      </c>
      <c r="R38" s="68" t="str">
        <f>IF(AND('Mapa final'!$AB$25="Baja",'Mapa final'!$AD$25="Menor"),CONCATENATE("R3C",'Mapa final'!$R$25),"")</f>
        <v/>
      </c>
      <c r="S38" s="68" t="str">
        <f>IF(AND('Mapa final'!$AB$26="Baja",'Mapa final'!$AD$26="Menor"),CONCATENATE("R3C",'Mapa final'!$R$26),"")</f>
        <v/>
      </c>
      <c r="T38" s="68" t="str">
        <f>IF(AND('Mapa final'!$AB$27="Baja",'Mapa final'!$AD$27="Menor"),CONCATENATE("R3C",'Mapa final'!$R$27),"")</f>
        <v/>
      </c>
      <c r="U38" s="69" t="str">
        <f>IF(AND('Mapa final'!$AB$28="Baja",'Mapa final'!$AD$28="Menor"),CONCATENATE("R3C",'Mapa final'!$R$28),"")</f>
        <v/>
      </c>
      <c r="V38" s="67" t="str">
        <f ca="1">IF(AND('Mapa final'!$AB$23="Baja",'Mapa final'!$AD$23="Moderado"),CONCATENATE("R3C",'Mapa final'!$R$23),"")</f>
        <v>R3C1</v>
      </c>
      <c r="W38" s="68" t="str">
        <f ca="1">IF(AND('Mapa final'!$AB$24="Baja",'Mapa final'!$AD$24="Moderado"),CONCATENATE("R3C",'Mapa final'!$R$24),"")</f>
        <v>R3C2</v>
      </c>
      <c r="X38" s="68" t="str">
        <f>IF(AND('Mapa final'!$AB$25="Baja",'Mapa final'!$AD$25="Moderado"),CONCATENATE("R3C",'Mapa final'!$R$25),"")</f>
        <v/>
      </c>
      <c r="Y38" s="68" t="str">
        <f>IF(AND('Mapa final'!$AB$26="Baja",'Mapa final'!$AD$26="Moderado"),CONCATENATE("R3C",'Mapa final'!$R$26),"")</f>
        <v/>
      </c>
      <c r="Z38" s="68" t="str">
        <f>IF(AND('Mapa final'!$AB$27="Baja",'Mapa final'!$AD$27="Moderado"),CONCATENATE("R3C",'Mapa final'!$R$27),"")</f>
        <v/>
      </c>
      <c r="AA38" s="69" t="str">
        <f>IF(AND('Mapa final'!$AB$28="Baja",'Mapa final'!$AD$28="Moderado"),CONCATENATE("R3C",'Mapa final'!$R$28),"")</f>
        <v/>
      </c>
      <c r="AB38" s="51" t="str">
        <f ca="1">IF(AND('Mapa final'!$AB$23="Baja",'Mapa final'!$AD$23="Mayor"),CONCATENATE("R3C",'Mapa final'!$R$23),"")</f>
        <v/>
      </c>
      <c r="AC38" s="52" t="str">
        <f ca="1">IF(AND('Mapa final'!$AB$24="Baja",'Mapa final'!$AD$24="Mayor"),CONCATENATE("R3C",'Mapa final'!$R$24),"")</f>
        <v/>
      </c>
      <c r="AD38" s="52" t="str">
        <f>IF(AND('Mapa final'!$AB$25="Baja",'Mapa final'!$AD$25="Mayor"),CONCATENATE("R3C",'Mapa final'!$R$25),"")</f>
        <v/>
      </c>
      <c r="AE38" s="52" t="str">
        <f>IF(AND('Mapa final'!$AB$26="Baja",'Mapa final'!$AD$26="Mayor"),CONCATENATE("R3C",'Mapa final'!$R$26),"")</f>
        <v/>
      </c>
      <c r="AF38" s="52" t="str">
        <f>IF(AND('Mapa final'!$AB$27="Baja",'Mapa final'!$AD$27="Mayor"),CONCATENATE("R3C",'Mapa final'!$R$27),"")</f>
        <v/>
      </c>
      <c r="AG38" s="53" t="str">
        <f>IF(AND('Mapa final'!$AB$28="Baja",'Mapa final'!$AD$28="Mayor"),CONCATENATE("R3C",'Mapa final'!$R$28),"")</f>
        <v/>
      </c>
      <c r="AH38" s="54" t="str">
        <f ca="1">IF(AND('Mapa final'!$AB$23="Baja",'Mapa final'!$AD$23="Catastrófico"),CONCATENATE("R3C",'Mapa final'!$R$23),"")</f>
        <v/>
      </c>
      <c r="AI38" s="55" t="str">
        <f ca="1">IF(AND('Mapa final'!$AB$24="Baja",'Mapa final'!$AD$24="Catastrófico"),CONCATENATE("R3C",'Mapa final'!$R$24),"")</f>
        <v/>
      </c>
      <c r="AJ38" s="55" t="str">
        <f>IF(AND('Mapa final'!$AB$25="Baja",'Mapa final'!$AD$25="Catastrófico"),CONCATENATE("R3C",'Mapa final'!$R$25),"")</f>
        <v/>
      </c>
      <c r="AK38" s="55" t="str">
        <f>IF(AND('Mapa final'!$AB$26="Baja",'Mapa final'!$AD$26="Catastrófico"),CONCATENATE("R3C",'Mapa final'!$R$26),"")</f>
        <v/>
      </c>
      <c r="AL38" s="55" t="str">
        <f>IF(AND('Mapa final'!$AB$27="Baja",'Mapa final'!$AD$27="Catastrófico"),CONCATENATE("R3C",'Mapa final'!$R$27),"")</f>
        <v/>
      </c>
      <c r="AM38" s="56" t="str">
        <f>IF(AND('Mapa final'!$AB$28="Baja",'Mapa final'!$AD$28="Catastrófico"),CONCATENATE("R3C",'Mapa final'!$R$28),"")</f>
        <v/>
      </c>
      <c r="AN38" s="83"/>
      <c r="AO38" s="392"/>
      <c r="AP38" s="393"/>
      <c r="AQ38" s="393"/>
      <c r="AR38" s="393"/>
      <c r="AS38" s="393"/>
      <c r="AT38" s="394"/>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4.95" customHeight="1" x14ac:dyDescent="0.3">
      <c r="A39" s="83"/>
      <c r="B39" s="319"/>
      <c r="C39" s="319"/>
      <c r="D39" s="320"/>
      <c r="E39" s="360"/>
      <c r="F39" s="361"/>
      <c r="G39" s="361"/>
      <c r="H39" s="361"/>
      <c r="I39" s="377"/>
      <c r="J39" s="76" t="str">
        <f ca="1">IF(AND('Mapa final'!$AB$29="Baja",'Mapa final'!$AD$29="Leve"),CONCATENATE("R4C",'Mapa final'!$R$29),"")</f>
        <v/>
      </c>
      <c r="K39" s="77" t="str">
        <f>IF(AND('Mapa final'!$AB$30="Baja",'Mapa final'!$AD$30="Leve"),CONCATENATE("R4C",'Mapa final'!$R$30),"")</f>
        <v/>
      </c>
      <c r="L39" s="77" t="str">
        <f>IF(AND('Mapa final'!$AB$31="Baja",'Mapa final'!$AD$31="Leve"),CONCATENATE("R4C",'Mapa final'!$R$31),"")</f>
        <v/>
      </c>
      <c r="M39" s="77" t="str">
        <f>IF(AND('Mapa final'!$AB$32="Baja",'Mapa final'!$AD$32="Leve"),CONCATENATE("R4C",'Mapa final'!$R$32),"")</f>
        <v/>
      </c>
      <c r="N39" s="77" t="str">
        <f>IF(AND('Mapa final'!$AB$33="Baja",'Mapa final'!$AD$33="Leve"),CONCATENATE("R4C",'Mapa final'!$R$33),"")</f>
        <v/>
      </c>
      <c r="O39" s="78" t="str">
        <f>IF(AND('Mapa final'!$AB$34="Baja",'Mapa final'!$AD$34="Leve"),CONCATENATE("R4C",'Mapa final'!$R$34),"")</f>
        <v/>
      </c>
      <c r="P39" s="67" t="str">
        <f ca="1">IF(AND('Mapa final'!$AB$29="Baja",'Mapa final'!$AD$29="Menor"),CONCATENATE("R4C",'Mapa final'!$R$29),"")</f>
        <v/>
      </c>
      <c r="Q39" s="68" t="str">
        <f>IF(AND('Mapa final'!$AB$30="Baja",'Mapa final'!$AD$30="Menor"),CONCATENATE("R4C",'Mapa final'!$R$30),"")</f>
        <v/>
      </c>
      <c r="R39" s="68" t="str">
        <f>IF(AND('Mapa final'!$AB$31="Baja",'Mapa final'!$AD$31="Menor"),CONCATENATE("R4C",'Mapa final'!$R$31),"")</f>
        <v/>
      </c>
      <c r="S39" s="68" t="str">
        <f>IF(AND('Mapa final'!$AB$32="Baja",'Mapa final'!$AD$32="Menor"),CONCATENATE("R4C",'Mapa final'!$R$32),"")</f>
        <v/>
      </c>
      <c r="T39" s="68" t="str">
        <f>IF(AND('Mapa final'!$AB$33="Baja",'Mapa final'!$AD$33="Menor"),CONCATENATE("R4C",'Mapa final'!$R$33),"")</f>
        <v/>
      </c>
      <c r="U39" s="69" t="str">
        <f>IF(AND('Mapa final'!$AB$34="Baja",'Mapa final'!$AD$34="Menor"),CONCATENATE("R4C",'Mapa final'!$R$34),"")</f>
        <v/>
      </c>
      <c r="V39" s="67" t="str">
        <f ca="1">IF(AND('Mapa final'!$AB$29="Baja",'Mapa final'!$AD$29="Moderado"),CONCATENATE("R4C",'Mapa final'!$R$29),"")</f>
        <v/>
      </c>
      <c r="W39" s="68" t="str">
        <f>IF(AND('Mapa final'!$AB$30="Baja",'Mapa final'!$AD$30="Moderado"),CONCATENATE("R4C",'Mapa final'!$R$30),"")</f>
        <v/>
      </c>
      <c r="X39" s="68" t="str">
        <f>IF(AND('Mapa final'!$AB$31="Baja",'Mapa final'!$AD$31="Moderado"),CONCATENATE("R4C",'Mapa final'!$R$31),"")</f>
        <v/>
      </c>
      <c r="Y39" s="68" t="str">
        <f>IF(AND('Mapa final'!$AB$32="Baja",'Mapa final'!$AD$32="Moderado"),CONCATENATE("R4C",'Mapa final'!$R$32),"")</f>
        <v/>
      </c>
      <c r="Z39" s="68" t="str">
        <f>IF(AND('Mapa final'!$AB$33="Baja",'Mapa final'!$AD$33="Moderado"),CONCATENATE("R4C",'Mapa final'!$R$33),"")</f>
        <v/>
      </c>
      <c r="AA39" s="69" t="str">
        <f>IF(AND('Mapa final'!$AB$34="Baja",'Mapa final'!$AD$34="Moderado"),CONCATENATE("R4C",'Mapa final'!$R$34),"")</f>
        <v/>
      </c>
      <c r="AB39" s="51" t="str">
        <f ca="1">IF(AND('Mapa final'!$AB$29="Baja",'Mapa final'!$AD$29="Mayor"),CONCATENATE("R4C",'Mapa final'!$R$29),"")</f>
        <v/>
      </c>
      <c r="AC39" s="52" t="str">
        <f>IF(AND('Mapa final'!$AB$30="Baja",'Mapa final'!$AD$30="Mayor"),CONCATENATE("R4C",'Mapa final'!$R$30),"")</f>
        <v/>
      </c>
      <c r="AD39" s="52" t="str">
        <f>IF(AND('Mapa final'!$AB$31="Baja",'Mapa final'!$AD$31="Mayor"),CONCATENATE("R4C",'Mapa final'!$R$31),"")</f>
        <v/>
      </c>
      <c r="AE39" s="52" t="str">
        <f>IF(AND('Mapa final'!$AB$32="Baja",'Mapa final'!$AD$32="Mayor"),CONCATENATE("R4C",'Mapa final'!$R$32),"")</f>
        <v/>
      </c>
      <c r="AF39" s="52" t="str">
        <f>IF(AND('Mapa final'!$AB$33="Baja",'Mapa final'!$AD$33="Mayor"),CONCATENATE("R4C",'Mapa final'!$R$33),"")</f>
        <v/>
      </c>
      <c r="AG39" s="53" t="str">
        <f>IF(AND('Mapa final'!$AB$34="Baja",'Mapa final'!$AD$34="Mayor"),CONCATENATE("R4C",'Mapa final'!$R$34),"")</f>
        <v/>
      </c>
      <c r="AH39" s="54" t="str">
        <f ca="1">IF(AND('Mapa final'!$AB$29="Baja",'Mapa final'!$AD$29="Catastrófico"),CONCATENATE("R4C",'Mapa final'!$R$29),"")</f>
        <v/>
      </c>
      <c r="AI39" s="55" t="str">
        <f>IF(AND('Mapa final'!$AB$30="Baja",'Mapa final'!$AD$30="Catastrófico"),CONCATENATE("R4C",'Mapa final'!$R$30),"")</f>
        <v/>
      </c>
      <c r="AJ39" s="55" t="str">
        <f>IF(AND('Mapa final'!$AB$31="Baja",'Mapa final'!$AD$31="Catastrófico"),CONCATENATE("R4C",'Mapa final'!$R$31),"")</f>
        <v/>
      </c>
      <c r="AK39" s="55" t="str">
        <f>IF(AND('Mapa final'!$AB$32="Baja",'Mapa final'!$AD$32="Catastrófico"),CONCATENATE("R4C",'Mapa final'!$R$32),"")</f>
        <v/>
      </c>
      <c r="AL39" s="55" t="str">
        <f>IF(AND('Mapa final'!$AB$33="Baja",'Mapa final'!$AD$33="Catastrófico"),CONCATENATE("R4C",'Mapa final'!$R$33),"")</f>
        <v/>
      </c>
      <c r="AM39" s="56" t="str">
        <f>IF(AND('Mapa final'!$AB$34="Baja",'Mapa final'!$AD$34="Catastrófico"),CONCATENATE("R4C",'Mapa final'!$R$34),"")</f>
        <v/>
      </c>
      <c r="AN39" s="83"/>
      <c r="AO39" s="392"/>
      <c r="AP39" s="393"/>
      <c r="AQ39" s="393"/>
      <c r="AR39" s="393"/>
      <c r="AS39" s="393"/>
      <c r="AT39" s="394"/>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4.95" customHeight="1" x14ac:dyDescent="0.3">
      <c r="A40" s="83"/>
      <c r="B40" s="319"/>
      <c r="C40" s="319"/>
      <c r="D40" s="320"/>
      <c r="E40" s="360"/>
      <c r="F40" s="361"/>
      <c r="G40" s="361"/>
      <c r="H40" s="361"/>
      <c r="I40" s="377"/>
      <c r="J40" s="76" t="str">
        <f ca="1">IF(AND('Mapa final'!$AB$35="Baja",'Mapa final'!$AD$35="Leve"),CONCATENATE("R5C",'Mapa final'!$R$35),"")</f>
        <v/>
      </c>
      <c r="K40" s="77" t="str">
        <f>IF(AND('Mapa final'!$AB$36="Baja",'Mapa final'!$AD$36="Leve"),CONCATENATE("R5C",'Mapa final'!$R$36),"")</f>
        <v/>
      </c>
      <c r="L40" s="77" t="str">
        <f>IF(AND('Mapa final'!$AB$37="Baja",'Mapa final'!$AD$37="Leve"),CONCATENATE("R5C",'Mapa final'!$R$37),"")</f>
        <v/>
      </c>
      <c r="M40" s="77" t="str">
        <f>IF(AND('Mapa final'!$AB$38="Baja",'Mapa final'!$AD$38="Leve"),CONCATENATE("R5C",'Mapa final'!$R$38),"")</f>
        <v/>
      </c>
      <c r="N40" s="77" t="str">
        <f>IF(AND('Mapa final'!$AB$39="Baja",'Mapa final'!$AD$39="Leve"),CONCATENATE("R5C",'Mapa final'!$R$39),"")</f>
        <v/>
      </c>
      <c r="O40" s="78" t="str">
        <f>IF(AND('Mapa final'!$AB$40="Baja",'Mapa final'!$AD$40="Leve"),CONCATENATE("R5C",'Mapa final'!$R$40),"")</f>
        <v/>
      </c>
      <c r="P40" s="67" t="str">
        <f ca="1">IF(AND('Mapa final'!$AB$35="Baja",'Mapa final'!$AD$35="Menor"),CONCATENATE("R5C",'Mapa final'!$R$35),"")</f>
        <v/>
      </c>
      <c r="Q40" s="68" t="str">
        <f>IF(AND('Mapa final'!$AB$36="Baja",'Mapa final'!$AD$36="Menor"),CONCATENATE("R5C",'Mapa final'!$R$36),"")</f>
        <v/>
      </c>
      <c r="R40" s="68" t="str">
        <f>IF(AND('Mapa final'!$AB$37="Baja",'Mapa final'!$AD$37="Menor"),CONCATENATE("R5C",'Mapa final'!$R$37),"")</f>
        <v/>
      </c>
      <c r="S40" s="68" t="str">
        <f>IF(AND('Mapa final'!$AB$38="Baja",'Mapa final'!$AD$38="Menor"),CONCATENATE("R5C",'Mapa final'!$R$38),"")</f>
        <v/>
      </c>
      <c r="T40" s="68" t="str">
        <f>IF(AND('Mapa final'!$AB$39="Baja",'Mapa final'!$AD$39="Menor"),CONCATENATE("R5C",'Mapa final'!$R$39),"")</f>
        <v/>
      </c>
      <c r="U40" s="69" t="str">
        <f>IF(AND('Mapa final'!$AB$40="Baja",'Mapa final'!$AD$40="Menor"),CONCATENATE("R5C",'Mapa final'!$R$40),"")</f>
        <v/>
      </c>
      <c r="V40" s="67" t="str">
        <f ca="1">IF(AND('Mapa final'!$AB$35="Baja",'Mapa final'!$AD$35="Moderado"),CONCATENATE("R5C",'Mapa final'!$R$35),"")</f>
        <v>R5C1</v>
      </c>
      <c r="W40" s="68" t="str">
        <f>IF(AND('Mapa final'!$AB$36="Baja",'Mapa final'!$AD$36="Moderado"),CONCATENATE("R5C",'Mapa final'!$R$36),"")</f>
        <v/>
      </c>
      <c r="X40" s="68" t="str">
        <f>IF(AND('Mapa final'!$AB$37="Baja",'Mapa final'!$AD$37="Moderado"),CONCATENATE("R5C",'Mapa final'!$R$37),"")</f>
        <v/>
      </c>
      <c r="Y40" s="68" t="str">
        <f>IF(AND('Mapa final'!$AB$38="Baja",'Mapa final'!$AD$38="Moderado"),CONCATENATE("R5C",'Mapa final'!$R$38),"")</f>
        <v/>
      </c>
      <c r="Z40" s="68" t="str">
        <f>IF(AND('Mapa final'!$AB$39="Baja",'Mapa final'!$AD$39="Moderado"),CONCATENATE("R5C",'Mapa final'!$R$39),"")</f>
        <v/>
      </c>
      <c r="AA40" s="69" t="str">
        <f>IF(AND('Mapa final'!$AB$40="Baja",'Mapa final'!$AD$40="Moderado"),CONCATENATE("R5C",'Mapa final'!$R$40),"")</f>
        <v/>
      </c>
      <c r="AB40" s="51" t="str">
        <f ca="1">IF(AND('Mapa final'!$AB$35="Baja",'Mapa final'!$AD$35="Mayor"),CONCATENATE("R5C",'Mapa final'!$R$35),"")</f>
        <v/>
      </c>
      <c r="AC40" s="52" t="str">
        <f>IF(AND('Mapa final'!$AB$36="Baja",'Mapa final'!$AD$36="Mayor"),CONCATENATE("R5C",'Mapa final'!$R$36),"")</f>
        <v/>
      </c>
      <c r="AD40" s="57" t="str">
        <f>IF(AND('Mapa final'!$AB$37="Baja",'Mapa final'!$AD$37="Mayor"),CONCATENATE("R5C",'Mapa final'!$R$37),"")</f>
        <v/>
      </c>
      <c r="AE40" s="57" t="str">
        <f>IF(AND('Mapa final'!$AB$38="Baja",'Mapa final'!$AD$38="Mayor"),CONCATENATE("R5C",'Mapa final'!$R$38),"")</f>
        <v/>
      </c>
      <c r="AF40" s="57" t="str">
        <f>IF(AND('Mapa final'!$AB$39="Baja",'Mapa final'!$AD$39="Mayor"),CONCATENATE("R5C",'Mapa final'!$R$39),"")</f>
        <v/>
      </c>
      <c r="AG40" s="53" t="str">
        <f>IF(AND('Mapa final'!$AB$40="Baja",'Mapa final'!$AD$40="Mayor"),CONCATENATE("R5C",'Mapa final'!$R$40),"")</f>
        <v/>
      </c>
      <c r="AH40" s="54" t="str">
        <f ca="1">IF(AND('Mapa final'!$AB$35="Baja",'Mapa final'!$AD$35="Catastrófico"),CONCATENATE("R5C",'Mapa final'!$R$35),"")</f>
        <v/>
      </c>
      <c r="AI40" s="55" t="str">
        <f>IF(AND('Mapa final'!$AB$36="Baja",'Mapa final'!$AD$36="Catastrófico"),CONCATENATE("R5C",'Mapa final'!$R$36),"")</f>
        <v/>
      </c>
      <c r="AJ40" s="55" t="str">
        <f>IF(AND('Mapa final'!$AB$37="Baja",'Mapa final'!$AD$37="Catastrófico"),CONCATENATE("R5C",'Mapa final'!$R$37),"")</f>
        <v/>
      </c>
      <c r="AK40" s="55" t="str">
        <f>IF(AND('Mapa final'!$AB$38="Baja",'Mapa final'!$AD$38="Catastrófico"),CONCATENATE("R5C",'Mapa final'!$R$38),"")</f>
        <v/>
      </c>
      <c r="AL40" s="55" t="str">
        <f>IF(AND('Mapa final'!$AB$39="Baja",'Mapa final'!$AD$39="Catastrófico"),CONCATENATE("R5C",'Mapa final'!$R$39),"")</f>
        <v/>
      </c>
      <c r="AM40" s="56" t="str">
        <f>IF(AND('Mapa final'!$AB$40="Baja",'Mapa final'!$AD$40="Catastrófico"),CONCATENATE("R5C",'Mapa final'!$R$40),"")</f>
        <v/>
      </c>
      <c r="AN40" s="83"/>
      <c r="AO40" s="392"/>
      <c r="AP40" s="393"/>
      <c r="AQ40" s="393"/>
      <c r="AR40" s="393"/>
      <c r="AS40" s="393"/>
      <c r="AT40" s="394"/>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4.95" customHeight="1" x14ac:dyDescent="0.3">
      <c r="A41" s="83"/>
      <c r="B41" s="319"/>
      <c r="C41" s="319"/>
      <c r="D41" s="320"/>
      <c r="E41" s="360"/>
      <c r="F41" s="361"/>
      <c r="G41" s="361"/>
      <c r="H41" s="361"/>
      <c r="I41" s="377"/>
      <c r="J41" s="76" t="str">
        <f ca="1">IF(AND('Mapa final'!$AB$41="Baja",'Mapa final'!$AD$41="Leve"),CONCATENATE("R6C",'Mapa final'!$R$41),"")</f>
        <v/>
      </c>
      <c r="K41" s="77" t="str">
        <f>IF(AND('Mapa final'!$AB$42="Baja",'Mapa final'!$AD$42="Leve"),CONCATENATE("R6C",'Mapa final'!$R$42),"")</f>
        <v/>
      </c>
      <c r="L41" s="77" t="str">
        <f>IF(AND('Mapa final'!$AB$43="Baja",'Mapa final'!$AD$43="Leve"),CONCATENATE("R6C",'Mapa final'!$R$43),"")</f>
        <v/>
      </c>
      <c r="M41" s="77" t="str">
        <f>IF(AND('Mapa final'!$AB$44="Baja",'Mapa final'!$AD$44="Leve"),CONCATENATE("R6C",'Mapa final'!$R$44),"")</f>
        <v/>
      </c>
      <c r="N41" s="77" t="str">
        <f>IF(AND('Mapa final'!$AB$45="Baja",'Mapa final'!$AD$45="Leve"),CONCATENATE("R6C",'Mapa final'!$R$45),"")</f>
        <v/>
      </c>
      <c r="O41" s="78" t="str">
        <f>IF(AND('Mapa final'!$AB$46="Baja",'Mapa final'!$AD$46="Leve"),CONCATENATE("R6C",'Mapa final'!$R$46),"")</f>
        <v/>
      </c>
      <c r="P41" s="67" t="str">
        <f ca="1">IF(AND('Mapa final'!$AB$41="Baja",'Mapa final'!$AD$41="Menor"),CONCATENATE("R6C",'Mapa final'!$R$41),"")</f>
        <v/>
      </c>
      <c r="Q41" s="68" t="str">
        <f>IF(AND('Mapa final'!$AB$42="Baja",'Mapa final'!$AD$42="Menor"),CONCATENATE("R6C",'Mapa final'!$R$42),"")</f>
        <v/>
      </c>
      <c r="R41" s="68" t="str">
        <f>IF(AND('Mapa final'!$AB$43="Baja",'Mapa final'!$AD$43="Menor"),CONCATENATE("R6C",'Mapa final'!$R$43),"")</f>
        <v/>
      </c>
      <c r="S41" s="68" t="str">
        <f>IF(AND('Mapa final'!$AB$44="Baja",'Mapa final'!$AD$44="Menor"),CONCATENATE("R6C",'Mapa final'!$R$44),"")</f>
        <v/>
      </c>
      <c r="T41" s="68" t="str">
        <f>IF(AND('Mapa final'!$AB$45="Baja",'Mapa final'!$AD$45="Menor"),CONCATENATE("R6C",'Mapa final'!$R$45),"")</f>
        <v/>
      </c>
      <c r="U41" s="69" t="str">
        <f>IF(AND('Mapa final'!$AB$46="Baja",'Mapa final'!$AD$46="Menor"),CONCATENATE("R6C",'Mapa final'!$R$46),"")</f>
        <v/>
      </c>
      <c r="V41" s="67" t="str">
        <f ca="1">IF(AND('Mapa final'!$AB$41="Baja",'Mapa final'!$AD$41="Moderado"),CONCATENATE("R6C",'Mapa final'!$R$41),"")</f>
        <v/>
      </c>
      <c r="W41" s="68" t="str">
        <f>IF(AND('Mapa final'!$AB$42="Baja",'Mapa final'!$AD$42="Moderado"),CONCATENATE("R6C",'Mapa final'!$R$42),"")</f>
        <v/>
      </c>
      <c r="X41" s="68" t="str">
        <f>IF(AND('Mapa final'!$AB$43="Baja",'Mapa final'!$AD$43="Moderado"),CONCATENATE("R6C",'Mapa final'!$R$43),"")</f>
        <v/>
      </c>
      <c r="Y41" s="68" t="str">
        <f>IF(AND('Mapa final'!$AB$44="Baja",'Mapa final'!$AD$44="Moderado"),CONCATENATE("R6C",'Mapa final'!$R$44),"")</f>
        <v/>
      </c>
      <c r="Z41" s="68" t="str">
        <f>IF(AND('Mapa final'!$AB$45="Baja",'Mapa final'!$AD$45="Moderado"),CONCATENATE("R6C",'Mapa final'!$R$45),"")</f>
        <v/>
      </c>
      <c r="AA41" s="69" t="str">
        <f>IF(AND('Mapa final'!$AB$46="Baja",'Mapa final'!$AD$46="Moderado"),CONCATENATE("R6C",'Mapa final'!$R$46),"")</f>
        <v/>
      </c>
      <c r="AB41" s="51" t="str">
        <f ca="1">IF(AND('Mapa final'!$AB$41="Baja",'Mapa final'!$AD$41="Mayor"),CONCATENATE("R6C",'Mapa final'!$R$41),"")</f>
        <v/>
      </c>
      <c r="AC41" s="52" t="str">
        <f>IF(AND('Mapa final'!$AB$42="Baja",'Mapa final'!$AD$42="Mayor"),CONCATENATE("R6C",'Mapa final'!$R$42),"")</f>
        <v/>
      </c>
      <c r="AD41" s="57" t="str">
        <f>IF(AND('Mapa final'!$AB$43="Baja",'Mapa final'!$AD$43="Mayor"),CONCATENATE("R6C",'Mapa final'!$R$43),"")</f>
        <v/>
      </c>
      <c r="AE41" s="57" t="str">
        <f>IF(AND('Mapa final'!$AB$44="Baja",'Mapa final'!$AD$44="Mayor"),CONCATENATE("R6C",'Mapa final'!$R$44),"")</f>
        <v/>
      </c>
      <c r="AF41" s="57" t="str">
        <f>IF(AND('Mapa final'!$AB$45="Baja",'Mapa final'!$AD$45="Mayor"),CONCATENATE("R6C",'Mapa final'!$R$45),"")</f>
        <v/>
      </c>
      <c r="AG41" s="53" t="str">
        <f>IF(AND('Mapa final'!$AB$46="Baja",'Mapa final'!$AD$46="Mayor"),CONCATENATE("R6C",'Mapa final'!$R$46),"")</f>
        <v/>
      </c>
      <c r="AH41" s="54" t="str">
        <f ca="1">IF(AND('Mapa final'!$AB$41="Baja",'Mapa final'!$AD$41="Catastrófico"),CONCATENATE("R6C",'Mapa final'!$R$41),"")</f>
        <v/>
      </c>
      <c r="AI41" s="55" t="str">
        <f>IF(AND('Mapa final'!$AB$42="Baja",'Mapa final'!$AD$42="Catastrófico"),CONCATENATE("R6C",'Mapa final'!$R$42),"")</f>
        <v/>
      </c>
      <c r="AJ41" s="55" t="str">
        <f>IF(AND('Mapa final'!$AB$43="Baja",'Mapa final'!$AD$43="Catastrófico"),CONCATENATE("R6C",'Mapa final'!$R$43),"")</f>
        <v/>
      </c>
      <c r="AK41" s="55" t="str">
        <f>IF(AND('Mapa final'!$AB$44="Baja",'Mapa final'!$AD$44="Catastrófico"),CONCATENATE("R6C",'Mapa final'!$R$44),"")</f>
        <v/>
      </c>
      <c r="AL41" s="55" t="str">
        <f>IF(AND('Mapa final'!$AB$45="Baja",'Mapa final'!$AD$45="Catastrófico"),CONCATENATE("R6C",'Mapa final'!$R$45),"")</f>
        <v/>
      </c>
      <c r="AM41" s="56" t="str">
        <f>IF(AND('Mapa final'!$AB$46="Baja",'Mapa final'!$AD$46="Catastrófico"),CONCATENATE("R6C",'Mapa final'!$R$46),"")</f>
        <v/>
      </c>
      <c r="AN41" s="83"/>
      <c r="AO41" s="392"/>
      <c r="AP41" s="393"/>
      <c r="AQ41" s="393"/>
      <c r="AR41" s="393"/>
      <c r="AS41" s="393"/>
      <c r="AT41" s="394"/>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4.95" customHeight="1" x14ac:dyDescent="0.3">
      <c r="A42" s="83"/>
      <c r="B42" s="319"/>
      <c r="C42" s="319"/>
      <c r="D42" s="320"/>
      <c r="E42" s="360"/>
      <c r="F42" s="361"/>
      <c r="G42" s="361"/>
      <c r="H42" s="361"/>
      <c r="I42" s="377"/>
      <c r="J42" s="76" t="str">
        <f ca="1">IF(AND('Mapa final'!$AB$47="Baja",'Mapa final'!$AD$47="Leve"),CONCATENATE("R7C",'Mapa final'!$R$47),"")</f>
        <v/>
      </c>
      <c r="K42" s="77" t="str">
        <f>IF(AND('Mapa final'!$AB$48="Baja",'Mapa final'!$AD$48="Leve"),CONCATENATE("R7C",'Mapa final'!$R$48),"")</f>
        <v/>
      </c>
      <c r="L42" s="77" t="str">
        <f>IF(AND('Mapa final'!$AB$49="Baja",'Mapa final'!$AD$49="Leve"),CONCATENATE("R7C",'Mapa final'!$R$49),"")</f>
        <v/>
      </c>
      <c r="M42" s="77" t="str">
        <f>IF(AND('Mapa final'!$AB$50="Baja",'Mapa final'!$AD$50="Leve"),CONCATENATE("R7C",'Mapa final'!$R$50),"")</f>
        <v/>
      </c>
      <c r="N42" s="77" t="str">
        <f>IF(AND('Mapa final'!$AB$51="Baja",'Mapa final'!$AD$51="Leve"),CONCATENATE("R7C",'Mapa final'!$R$51),"")</f>
        <v/>
      </c>
      <c r="O42" s="78" t="str">
        <f>IF(AND('Mapa final'!$AB$52="Baja",'Mapa final'!$AD$52="Leve"),CONCATENATE("R7C",'Mapa final'!$R$52),"")</f>
        <v/>
      </c>
      <c r="P42" s="67" t="str">
        <f ca="1">IF(AND('Mapa final'!$AB$47="Baja",'Mapa final'!$AD$47="Menor"),CONCATENATE("R7C",'Mapa final'!$R$47),"")</f>
        <v/>
      </c>
      <c r="Q42" s="68" t="str">
        <f>IF(AND('Mapa final'!$AB$48="Baja",'Mapa final'!$AD$48="Menor"),CONCATENATE("R7C",'Mapa final'!$R$48),"")</f>
        <v/>
      </c>
      <c r="R42" s="68" t="str">
        <f>IF(AND('Mapa final'!$AB$49="Baja",'Mapa final'!$AD$49="Menor"),CONCATENATE("R7C",'Mapa final'!$R$49),"")</f>
        <v/>
      </c>
      <c r="S42" s="68" t="str">
        <f>IF(AND('Mapa final'!$AB$50="Baja",'Mapa final'!$AD$50="Menor"),CONCATENATE("R7C",'Mapa final'!$R$50),"")</f>
        <v/>
      </c>
      <c r="T42" s="68" t="str">
        <f>IF(AND('Mapa final'!$AB$51="Baja",'Mapa final'!$AD$51="Menor"),CONCATENATE("R7C",'Mapa final'!$R$51),"")</f>
        <v/>
      </c>
      <c r="U42" s="69" t="str">
        <f>IF(AND('Mapa final'!$AB$52="Baja",'Mapa final'!$AD$52="Menor"),CONCATENATE("R7C",'Mapa final'!$R$52),"")</f>
        <v/>
      </c>
      <c r="V42" s="67" t="str">
        <f ca="1">IF(AND('Mapa final'!$AB$47="Baja",'Mapa final'!$AD$47="Moderado"),CONCATENATE("R7C",'Mapa final'!$R$47),"")</f>
        <v>R7C1</v>
      </c>
      <c r="W42" s="68" t="str">
        <f>IF(AND('Mapa final'!$AB$48="Baja",'Mapa final'!$AD$48="Moderado"),CONCATENATE("R7C",'Mapa final'!$R$48),"")</f>
        <v/>
      </c>
      <c r="X42" s="68" t="str">
        <f>IF(AND('Mapa final'!$AB$49="Baja",'Mapa final'!$AD$49="Moderado"),CONCATENATE("R7C",'Mapa final'!$R$49),"")</f>
        <v/>
      </c>
      <c r="Y42" s="68" t="str">
        <f>IF(AND('Mapa final'!$AB$50="Baja",'Mapa final'!$AD$50="Moderado"),CONCATENATE("R7C",'Mapa final'!$R$50),"")</f>
        <v/>
      </c>
      <c r="Z42" s="68" t="str">
        <f>IF(AND('Mapa final'!$AB$51="Baja",'Mapa final'!$AD$51="Moderado"),CONCATENATE("R7C",'Mapa final'!$R$51),"")</f>
        <v/>
      </c>
      <c r="AA42" s="69" t="str">
        <f>IF(AND('Mapa final'!$AB$52="Baja",'Mapa final'!$AD$52="Moderado"),CONCATENATE("R7C",'Mapa final'!$R$52),"")</f>
        <v/>
      </c>
      <c r="AB42" s="51" t="str">
        <f ca="1">IF(AND('Mapa final'!$AB$47="Baja",'Mapa final'!$AD$47="Mayor"),CONCATENATE("R7C",'Mapa final'!$R$47),"")</f>
        <v/>
      </c>
      <c r="AC42" s="52" t="str">
        <f>IF(AND('Mapa final'!$AB$48="Baja",'Mapa final'!$AD$48="Mayor"),CONCATENATE("R7C",'Mapa final'!$R$48),"")</f>
        <v/>
      </c>
      <c r="AD42" s="57" t="str">
        <f>IF(AND('Mapa final'!$AB$49="Baja",'Mapa final'!$AD$49="Mayor"),CONCATENATE("R7C",'Mapa final'!$R$49),"")</f>
        <v/>
      </c>
      <c r="AE42" s="57" t="str">
        <f>IF(AND('Mapa final'!$AB$50="Baja",'Mapa final'!$AD$50="Mayor"),CONCATENATE("R7C",'Mapa final'!$R$50),"")</f>
        <v/>
      </c>
      <c r="AF42" s="57" t="str">
        <f>IF(AND('Mapa final'!$AB$51="Baja",'Mapa final'!$AD$51="Mayor"),CONCATENATE("R7C",'Mapa final'!$R$51),"")</f>
        <v/>
      </c>
      <c r="AG42" s="53" t="str">
        <f>IF(AND('Mapa final'!$AB$52="Baja",'Mapa final'!$AD$52="Mayor"),CONCATENATE("R7C",'Mapa final'!$R$52),"")</f>
        <v/>
      </c>
      <c r="AH42" s="54" t="str">
        <f ca="1">IF(AND('Mapa final'!$AB$47="Baja",'Mapa final'!$AD$47="Catastrófico"),CONCATENATE("R7C",'Mapa final'!$R$47),"")</f>
        <v/>
      </c>
      <c r="AI42" s="55" t="str">
        <f>IF(AND('Mapa final'!$AB$48="Baja",'Mapa final'!$AD$48="Catastrófico"),CONCATENATE("R7C",'Mapa final'!$R$48),"")</f>
        <v/>
      </c>
      <c r="AJ42" s="55" t="str">
        <f>IF(AND('Mapa final'!$AB$49="Baja",'Mapa final'!$AD$49="Catastrófico"),CONCATENATE("R7C",'Mapa final'!$R$49),"")</f>
        <v/>
      </c>
      <c r="AK42" s="55" t="str">
        <f>IF(AND('Mapa final'!$AB$50="Baja",'Mapa final'!$AD$50="Catastrófico"),CONCATENATE("R7C",'Mapa final'!$R$50),"")</f>
        <v/>
      </c>
      <c r="AL42" s="55" t="str">
        <f>IF(AND('Mapa final'!$AB$51="Baja",'Mapa final'!$AD$51="Catastrófico"),CONCATENATE("R7C",'Mapa final'!$R$51),"")</f>
        <v/>
      </c>
      <c r="AM42" s="56" t="str">
        <f>IF(AND('Mapa final'!$AB$52="Baja",'Mapa final'!$AD$52="Catastrófico"),CONCATENATE("R7C",'Mapa final'!$R$52),"")</f>
        <v/>
      </c>
      <c r="AN42" s="83"/>
      <c r="AO42" s="392"/>
      <c r="AP42" s="393"/>
      <c r="AQ42" s="393"/>
      <c r="AR42" s="393"/>
      <c r="AS42" s="393"/>
      <c r="AT42" s="394"/>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4.95" customHeight="1" x14ac:dyDescent="0.3">
      <c r="A43" s="83"/>
      <c r="B43" s="319"/>
      <c r="C43" s="319"/>
      <c r="D43" s="320"/>
      <c r="E43" s="360"/>
      <c r="F43" s="361"/>
      <c r="G43" s="361"/>
      <c r="H43" s="361"/>
      <c r="I43" s="377"/>
      <c r="J43" s="76" t="str">
        <f ca="1">IF(AND('Mapa final'!$AB$53="Baja",'Mapa final'!$AD$53="Leve"),CONCATENATE("R8C",'Mapa final'!$R$53),"")</f>
        <v/>
      </c>
      <c r="K43" s="77" t="str">
        <f ca="1">IF(AND('Mapa final'!$AB$54="Baja",'Mapa final'!$AD$54="Leve"),CONCATENATE("R8C",'Mapa final'!$R$54),"")</f>
        <v/>
      </c>
      <c r="L43" s="77" t="str">
        <f>IF(AND('Mapa final'!$AB$55="Baja",'Mapa final'!$AD$55="Leve"),CONCATENATE("R8C",'Mapa final'!$R$55),"")</f>
        <v/>
      </c>
      <c r="M43" s="77" t="str">
        <f>IF(AND('Mapa final'!$AB$56="Baja",'Mapa final'!$AD$56="Leve"),CONCATENATE("R8C",'Mapa final'!$R$56),"")</f>
        <v/>
      </c>
      <c r="N43" s="77" t="str">
        <f>IF(AND('Mapa final'!$AB$57="Baja",'Mapa final'!$AD$57="Leve"),CONCATENATE("R8C",'Mapa final'!$R$57),"")</f>
        <v/>
      </c>
      <c r="O43" s="78" t="str">
        <f>IF(AND('Mapa final'!$AB$58="Baja",'Mapa final'!$AD$58="Leve"),CONCATENATE("R8C",'Mapa final'!$R$58),"")</f>
        <v/>
      </c>
      <c r="P43" s="67" t="str">
        <f ca="1">IF(AND('Mapa final'!$AB$53="Baja",'Mapa final'!$AD$53="Menor"),CONCATENATE("R8C",'Mapa final'!$R$53),"")</f>
        <v/>
      </c>
      <c r="Q43" s="68" t="str">
        <f ca="1">IF(AND('Mapa final'!$AB$54="Baja",'Mapa final'!$AD$54="Menor"),CONCATENATE("R8C",'Mapa final'!$R$54),"")</f>
        <v/>
      </c>
      <c r="R43" s="68" t="str">
        <f>IF(AND('Mapa final'!$AB$55="Baja",'Mapa final'!$AD$55="Menor"),CONCATENATE("R8C",'Mapa final'!$R$55),"")</f>
        <v/>
      </c>
      <c r="S43" s="68" t="str">
        <f>IF(AND('Mapa final'!$AB$56="Baja",'Mapa final'!$AD$56="Menor"),CONCATENATE("R8C",'Mapa final'!$R$56),"")</f>
        <v/>
      </c>
      <c r="T43" s="68" t="str">
        <f>IF(AND('Mapa final'!$AB$57="Baja",'Mapa final'!$AD$57="Menor"),CONCATENATE("R8C",'Mapa final'!$R$57),"")</f>
        <v/>
      </c>
      <c r="U43" s="69" t="str">
        <f>IF(AND('Mapa final'!$AB$58="Baja",'Mapa final'!$AD$58="Menor"),CONCATENATE("R8C",'Mapa final'!$R$58),"")</f>
        <v/>
      </c>
      <c r="V43" s="67" t="str">
        <f ca="1">IF(AND('Mapa final'!$AB$53="Baja",'Mapa final'!$AD$53="Moderado"),CONCATENATE("R8C",'Mapa final'!$R$53),"")</f>
        <v/>
      </c>
      <c r="W43" s="68" t="str">
        <f ca="1">IF(AND('Mapa final'!$AB$54="Baja",'Mapa final'!$AD$54="Moderado"),CONCATENATE("R8C",'Mapa final'!$R$54),"")</f>
        <v>R8C2</v>
      </c>
      <c r="X43" s="68" t="str">
        <f>IF(AND('Mapa final'!$AB$55="Baja",'Mapa final'!$AD$55="Moderado"),CONCATENATE("R8C",'Mapa final'!$R$55),"")</f>
        <v/>
      </c>
      <c r="Y43" s="68" t="str">
        <f>IF(AND('Mapa final'!$AB$56="Baja",'Mapa final'!$AD$56="Moderado"),CONCATENATE("R8C",'Mapa final'!$R$56),"")</f>
        <v/>
      </c>
      <c r="Z43" s="68" t="str">
        <f>IF(AND('Mapa final'!$AB$57="Baja",'Mapa final'!$AD$57="Moderado"),CONCATENATE("R8C",'Mapa final'!$R$57),"")</f>
        <v/>
      </c>
      <c r="AA43" s="69" t="str">
        <f>IF(AND('Mapa final'!$AB$58="Baja",'Mapa final'!$AD$58="Moderado"),CONCATENATE("R8C",'Mapa final'!$R$58),"")</f>
        <v/>
      </c>
      <c r="AB43" s="51" t="str">
        <f ca="1">IF(AND('Mapa final'!$AB$53="Baja",'Mapa final'!$AD$53="Mayor"),CONCATENATE("R8C",'Mapa final'!$R$53),"")</f>
        <v/>
      </c>
      <c r="AC43" s="52" t="str">
        <f ca="1">IF(AND('Mapa final'!$AB$54="Baja",'Mapa final'!$AD$54="Mayor"),CONCATENATE("R8C",'Mapa final'!$R$54),"")</f>
        <v/>
      </c>
      <c r="AD43" s="57" t="str">
        <f>IF(AND('Mapa final'!$AB$55="Baja",'Mapa final'!$AD$55="Mayor"),CONCATENATE("R8C",'Mapa final'!$R$55),"")</f>
        <v/>
      </c>
      <c r="AE43" s="57" t="str">
        <f>IF(AND('Mapa final'!$AB$56="Baja",'Mapa final'!$AD$56="Mayor"),CONCATENATE("R8C",'Mapa final'!$R$56),"")</f>
        <v/>
      </c>
      <c r="AF43" s="57" t="str">
        <f>IF(AND('Mapa final'!$AB$57="Baja",'Mapa final'!$AD$57="Mayor"),CONCATENATE("R8C",'Mapa final'!$R$57),"")</f>
        <v/>
      </c>
      <c r="AG43" s="53" t="str">
        <f>IF(AND('Mapa final'!$AB$58="Baja",'Mapa final'!$AD$58="Mayor"),CONCATENATE("R8C",'Mapa final'!$R$58),"")</f>
        <v/>
      </c>
      <c r="AH43" s="54" t="str">
        <f ca="1">IF(AND('Mapa final'!$AB$53="Baja",'Mapa final'!$AD$53="Catastrófico"),CONCATENATE("R8C",'Mapa final'!$R$53),"")</f>
        <v/>
      </c>
      <c r="AI43" s="55" t="str">
        <f ca="1">IF(AND('Mapa final'!$AB$54="Baja",'Mapa final'!$AD$54="Catastrófico"),CONCATENATE("R8C",'Mapa final'!$R$54),"")</f>
        <v/>
      </c>
      <c r="AJ43" s="55" t="str">
        <f>IF(AND('Mapa final'!$AB$55="Baja",'Mapa final'!$AD$55="Catastrófico"),CONCATENATE("R8C",'Mapa final'!$R$55),"")</f>
        <v/>
      </c>
      <c r="AK43" s="55" t="str">
        <f>IF(AND('Mapa final'!$AB$56="Baja",'Mapa final'!$AD$56="Catastrófico"),CONCATENATE("R8C",'Mapa final'!$R$56),"")</f>
        <v/>
      </c>
      <c r="AL43" s="55" t="str">
        <f>IF(AND('Mapa final'!$AB$57="Baja",'Mapa final'!$AD$57="Catastrófico"),CONCATENATE("R8C",'Mapa final'!$R$57),"")</f>
        <v/>
      </c>
      <c r="AM43" s="56" t="str">
        <f>IF(AND('Mapa final'!$AB$58="Baja",'Mapa final'!$AD$58="Catastrófico"),CONCATENATE("R8C",'Mapa final'!$R$58),"")</f>
        <v/>
      </c>
      <c r="AN43" s="83"/>
      <c r="AO43" s="392"/>
      <c r="AP43" s="393"/>
      <c r="AQ43" s="393"/>
      <c r="AR43" s="393"/>
      <c r="AS43" s="393"/>
      <c r="AT43" s="394"/>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4.95" customHeight="1" x14ac:dyDescent="0.3">
      <c r="A44" s="83"/>
      <c r="B44" s="319"/>
      <c r="C44" s="319"/>
      <c r="D44" s="320"/>
      <c r="E44" s="360"/>
      <c r="F44" s="361"/>
      <c r="G44" s="361"/>
      <c r="H44" s="361"/>
      <c r="I44" s="377"/>
      <c r="J44" s="76" t="str">
        <f ca="1">IF(AND('Mapa final'!$AB$59="Baja",'Mapa final'!$AD$59="Leve"),CONCATENATE("R9C",'Mapa final'!$R$59),"")</f>
        <v/>
      </c>
      <c r="K44" s="77" t="str">
        <f>IF(AND('Mapa final'!$AB$60="Baja",'Mapa final'!$AD$60="Leve"),CONCATENATE("R9C",'Mapa final'!$R$60),"")</f>
        <v/>
      </c>
      <c r="L44" s="77" t="str">
        <f>IF(AND('Mapa final'!$AB$61="Baja",'Mapa final'!$AD$61="Leve"),CONCATENATE("R9C",'Mapa final'!$R$61),"")</f>
        <v/>
      </c>
      <c r="M44" s="77" t="str">
        <f>IF(AND('Mapa final'!$AB$62="Baja",'Mapa final'!$AD$62="Leve"),CONCATENATE("R9C",'Mapa final'!$R$62),"")</f>
        <v/>
      </c>
      <c r="N44" s="77" t="str">
        <f>IF(AND('Mapa final'!$AB$63="Baja",'Mapa final'!$AD$63="Leve"),CONCATENATE("R9C",'Mapa final'!$R$63),"")</f>
        <v/>
      </c>
      <c r="O44" s="78" t="str">
        <f>IF(AND('Mapa final'!$AB$64="Baja",'Mapa final'!$AD$64="Leve"),CONCATENATE("R9C",'Mapa final'!$R$64),"")</f>
        <v/>
      </c>
      <c r="P44" s="67" t="str">
        <f ca="1">IF(AND('Mapa final'!$AB$59="Baja",'Mapa final'!$AD$59="Menor"),CONCATENATE("R9C",'Mapa final'!$R$59),"")</f>
        <v/>
      </c>
      <c r="Q44" s="68" t="str">
        <f>IF(AND('Mapa final'!$AB$60="Baja",'Mapa final'!$AD$60="Menor"),CONCATENATE("R9C",'Mapa final'!$R$60),"")</f>
        <v/>
      </c>
      <c r="R44" s="68" t="str">
        <f>IF(AND('Mapa final'!$AB$61="Baja",'Mapa final'!$AD$61="Menor"),CONCATENATE("R9C",'Mapa final'!$R$61),"")</f>
        <v/>
      </c>
      <c r="S44" s="68" t="str">
        <f>IF(AND('Mapa final'!$AB$62="Baja",'Mapa final'!$AD$62="Menor"),CONCATENATE("R9C",'Mapa final'!$R$62),"")</f>
        <v/>
      </c>
      <c r="T44" s="68" t="str">
        <f>IF(AND('Mapa final'!$AB$63="Baja",'Mapa final'!$AD$63="Menor"),CONCATENATE("R9C",'Mapa final'!$R$63),"")</f>
        <v/>
      </c>
      <c r="U44" s="69" t="str">
        <f>IF(AND('Mapa final'!$AB$64="Baja",'Mapa final'!$AD$64="Menor"),CONCATENATE("R9C",'Mapa final'!$R$64),"")</f>
        <v/>
      </c>
      <c r="V44" s="67" t="str">
        <f ca="1">IF(AND('Mapa final'!$AB$59="Baja",'Mapa final'!$AD$59="Moderado"),CONCATENATE("R9C",'Mapa final'!$R$59),"")</f>
        <v>R9C1</v>
      </c>
      <c r="W44" s="68" t="str">
        <f>IF(AND('Mapa final'!$AB$60="Baja",'Mapa final'!$AD$60="Moderado"),CONCATENATE("R9C",'Mapa final'!$R$60),"")</f>
        <v/>
      </c>
      <c r="X44" s="68" t="str">
        <f>IF(AND('Mapa final'!$AB$61="Baja",'Mapa final'!$AD$61="Moderado"),CONCATENATE("R9C",'Mapa final'!$R$61),"")</f>
        <v/>
      </c>
      <c r="Y44" s="68" t="str">
        <f>IF(AND('Mapa final'!$AB$62="Baja",'Mapa final'!$AD$62="Moderado"),CONCATENATE("R9C",'Mapa final'!$R$62),"")</f>
        <v/>
      </c>
      <c r="Z44" s="68" t="str">
        <f>IF(AND('Mapa final'!$AB$63="Baja",'Mapa final'!$AD$63="Moderado"),CONCATENATE("R9C",'Mapa final'!$R$63),"")</f>
        <v/>
      </c>
      <c r="AA44" s="69" t="str">
        <f>IF(AND('Mapa final'!$AB$64="Baja",'Mapa final'!$AD$64="Moderado"),CONCATENATE("R9C",'Mapa final'!$R$64),"")</f>
        <v/>
      </c>
      <c r="AB44" s="51" t="str">
        <f ca="1">IF(AND('Mapa final'!$AB$59="Baja",'Mapa final'!$AD$59="Mayor"),CONCATENATE("R9C",'Mapa final'!$R$59),"")</f>
        <v/>
      </c>
      <c r="AC44" s="52" t="str">
        <f>IF(AND('Mapa final'!$AB$60="Baja",'Mapa final'!$AD$60="Mayor"),CONCATENATE("R9C",'Mapa final'!$R$60),"")</f>
        <v/>
      </c>
      <c r="AD44" s="57" t="str">
        <f>IF(AND('Mapa final'!$AB$61="Baja",'Mapa final'!$AD$61="Mayor"),CONCATENATE("R9C",'Mapa final'!$R$61),"")</f>
        <v/>
      </c>
      <c r="AE44" s="57" t="str">
        <f>IF(AND('Mapa final'!$AB$62="Baja",'Mapa final'!$AD$62="Mayor"),CONCATENATE("R9C",'Mapa final'!$R$62),"")</f>
        <v/>
      </c>
      <c r="AF44" s="57" t="str">
        <f>IF(AND('Mapa final'!$AB$63="Baja",'Mapa final'!$AD$63="Mayor"),CONCATENATE("R9C",'Mapa final'!$R$63),"")</f>
        <v/>
      </c>
      <c r="AG44" s="53" t="str">
        <f>IF(AND('Mapa final'!$AB$64="Baja",'Mapa final'!$AD$64="Mayor"),CONCATENATE("R9C",'Mapa final'!$R$64),"")</f>
        <v/>
      </c>
      <c r="AH44" s="54" t="str">
        <f ca="1">IF(AND('Mapa final'!$AB$59="Baja",'Mapa final'!$AD$59="Catastrófico"),CONCATENATE("R9C",'Mapa final'!$R$59),"")</f>
        <v/>
      </c>
      <c r="AI44" s="55" t="str">
        <f>IF(AND('Mapa final'!$AB$60="Baja",'Mapa final'!$AD$60="Catastrófico"),CONCATENATE("R9C",'Mapa final'!$R$60),"")</f>
        <v/>
      </c>
      <c r="AJ44" s="55" t="str">
        <f>IF(AND('Mapa final'!$AB$61="Baja",'Mapa final'!$AD$61="Catastrófico"),CONCATENATE("R9C",'Mapa final'!$R$61),"")</f>
        <v/>
      </c>
      <c r="AK44" s="55" t="str">
        <f>IF(AND('Mapa final'!$AB$62="Baja",'Mapa final'!$AD$62="Catastrófico"),CONCATENATE("R9C",'Mapa final'!$R$62),"")</f>
        <v/>
      </c>
      <c r="AL44" s="55" t="str">
        <f>IF(AND('Mapa final'!$AB$63="Baja",'Mapa final'!$AD$63="Catastrófico"),CONCATENATE("R9C",'Mapa final'!$R$63),"")</f>
        <v/>
      </c>
      <c r="AM44" s="56" t="str">
        <f>IF(AND('Mapa final'!$AB$64="Baja",'Mapa final'!$AD$64="Catastrófico"),CONCATENATE("R9C",'Mapa final'!$R$64),"")</f>
        <v/>
      </c>
      <c r="AN44" s="83"/>
      <c r="AO44" s="392"/>
      <c r="AP44" s="393"/>
      <c r="AQ44" s="393"/>
      <c r="AR44" s="393"/>
      <c r="AS44" s="393"/>
      <c r="AT44" s="394"/>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8" customHeight="1" thickBot="1" x14ac:dyDescent="0.35">
      <c r="A45" s="83"/>
      <c r="B45" s="319"/>
      <c r="C45" s="319"/>
      <c r="D45" s="320"/>
      <c r="E45" s="363"/>
      <c r="F45" s="364"/>
      <c r="G45" s="364"/>
      <c r="H45" s="364"/>
      <c r="I45" s="364"/>
      <c r="J45" s="79" t="str">
        <f>IF(AND('Mapa final'!$AB$65="Baja",'Mapa final'!$AD$65="Leve"),CONCATENATE("R10C",'Mapa final'!$R$65),"")</f>
        <v/>
      </c>
      <c r="K45" s="80" t="str">
        <f>IF(AND('Mapa final'!$AB$66="Baja",'Mapa final'!$AD$66="Leve"),CONCATENATE("R10C",'Mapa final'!$R$66),"")</f>
        <v/>
      </c>
      <c r="L45" s="80" t="str">
        <f>IF(AND('Mapa final'!$AB$67="Baja",'Mapa final'!$AD$67="Leve"),CONCATENATE("R10C",'Mapa final'!$R$67),"")</f>
        <v/>
      </c>
      <c r="M45" s="80" t="str">
        <f>IF(AND('Mapa final'!$AB$68="Baja",'Mapa final'!$AD$68="Leve"),CONCATENATE("R10C",'Mapa final'!$R$68),"")</f>
        <v/>
      </c>
      <c r="N45" s="80" t="str">
        <f>IF(AND('Mapa final'!$AB$69="Baja",'Mapa final'!$AD$69="Leve"),CONCATENATE("R10C",'Mapa final'!$R$69),"")</f>
        <v/>
      </c>
      <c r="O45" s="81" t="str">
        <f>IF(AND('Mapa final'!$AB$70="Baja",'Mapa final'!$AD$70="Leve"),CONCATENATE("R10C",'Mapa final'!$R$70),"")</f>
        <v/>
      </c>
      <c r="P45" s="67" t="str">
        <f>IF(AND('Mapa final'!$AB$65="Baja",'Mapa final'!$AD$65="Menor"),CONCATENATE("R10C",'Mapa final'!$R$65),"")</f>
        <v/>
      </c>
      <c r="Q45" s="68" t="str">
        <f>IF(AND('Mapa final'!$AB$66="Baja",'Mapa final'!$AD$66="Menor"),CONCATENATE("R10C",'Mapa final'!$R$66),"")</f>
        <v/>
      </c>
      <c r="R45" s="68" t="str">
        <f>IF(AND('Mapa final'!$AB$67="Baja",'Mapa final'!$AD$67="Menor"),CONCATENATE("R10C",'Mapa final'!$R$67),"")</f>
        <v/>
      </c>
      <c r="S45" s="68" t="str">
        <f>IF(AND('Mapa final'!$AB$68="Baja",'Mapa final'!$AD$68="Menor"),CONCATENATE("R10C",'Mapa final'!$R$68),"")</f>
        <v/>
      </c>
      <c r="T45" s="68" t="str">
        <f>IF(AND('Mapa final'!$AB$69="Baja",'Mapa final'!$AD$69="Menor"),CONCATENATE("R10C",'Mapa final'!$R$69),"")</f>
        <v/>
      </c>
      <c r="U45" s="69" t="str">
        <f>IF(AND('Mapa final'!$AB$70="Baja",'Mapa final'!$AD$70="Menor"),CONCATENATE("R10C",'Mapa final'!$R$70),"")</f>
        <v/>
      </c>
      <c r="V45" s="70" t="str">
        <f>IF(AND('Mapa final'!$AB$65="Baja",'Mapa final'!$AD$65="Moderado"),CONCATENATE("R10C",'Mapa final'!$R$65),"")</f>
        <v/>
      </c>
      <c r="W45" s="71" t="str">
        <f>IF(AND('Mapa final'!$AB$66="Baja",'Mapa final'!$AD$66="Moderado"),CONCATENATE("R10C",'Mapa final'!$R$66),"")</f>
        <v/>
      </c>
      <c r="X45" s="71" t="str">
        <f>IF(AND('Mapa final'!$AB$67="Baja",'Mapa final'!$AD$67="Moderado"),CONCATENATE("R10C",'Mapa final'!$R$67),"")</f>
        <v/>
      </c>
      <c r="Y45" s="71" t="str">
        <f>IF(AND('Mapa final'!$AB$68="Baja",'Mapa final'!$AD$68="Moderado"),CONCATENATE("R10C",'Mapa final'!$R$68),"")</f>
        <v/>
      </c>
      <c r="Z45" s="71" t="str">
        <f>IF(AND('Mapa final'!$AB$69="Baja",'Mapa final'!$AD$69="Moderado"),CONCATENATE("R10C",'Mapa final'!$R$69),"")</f>
        <v/>
      </c>
      <c r="AA45" s="72" t="str">
        <f>IF(AND('Mapa final'!$AB$70="Baja",'Mapa final'!$AD$70="Moderado"),CONCATENATE("R10C",'Mapa final'!$R$70),"")</f>
        <v/>
      </c>
      <c r="AB45" s="58" t="str">
        <f>IF(AND('Mapa final'!$AB$65="Baja",'Mapa final'!$AD$65="Mayor"),CONCATENATE("R10C",'Mapa final'!$R$65),"")</f>
        <v/>
      </c>
      <c r="AC45" s="59" t="str">
        <f>IF(AND('Mapa final'!$AB$66="Baja",'Mapa final'!$AD$66="Mayor"),CONCATENATE("R10C",'Mapa final'!$R$66),"")</f>
        <v/>
      </c>
      <c r="AD45" s="59" t="str">
        <f>IF(AND('Mapa final'!$AB$67="Baja",'Mapa final'!$AD$67="Mayor"),CONCATENATE("R10C",'Mapa final'!$R$67),"")</f>
        <v/>
      </c>
      <c r="AE45" s="59" t="str">
        <f>IF(AND('Mapa final'!$AB$68="Baja",'Mapa final'!$AD$68="Mayor"),CONCATENATE("R10C",'Mapa final'!$R$68),"")</f>
        <v/>
      </c>
      <c r="AF45" s="59" t="str">
        <f>IF(AND('Mapa final'!$AB$69="Baja",'Mapa final'!$AD$69="Mayor"),CONCATENATE("R10C",'Mapa final'!$R$69),"")</f>
        <v/>
      </c>
      <c r="AG45" s="60" t="str">
        <f>IF(AND('Mapa final'!$AB$70="Baja",'Mapa final'!$AD$70="Mayor"),CONCATENATE("R10C",'Mapa final'!$R$70),"")</f>
        <v/>
      </c>
      <c r="AH45" s="61" t="str">
        <f>IF(AND('Mapa final'!$AB$65="Baja",'Mapa final'!$AD$65="Catastrófico"),CONCATENATE("R10C",'Mapa final'!$R$65),"")</f>
        <v/>
      </c>
      <c r="AI45" s="62" t="str">
        <f>IF(AND('Mapa final'!$AB$66="Baja",'Mapa final'!$AD$66="Catastrófico"),CONCATENATE("R10C",'Mapa final'!$R$66),"")</f>
        <v/>
      </c>
      <c r="AJ45" s="62" t="str">
        <f>IF(AND('Mapa final'!$AB$67="Baja",'Mapa final'!$AD$67="Catastrófico"),CONCATENATE("R10C",'Mapa final'!$R$67),"")</f>
        <v/>
      </c>
      <c r="AK45" s="62" t="str">
        <f>IF(AND('Mapa final'!$AB$68="Baja",'Mapa final'!$AD$68="Catastrófico"),CONCATENATE("R10C",'Mapa final'!$R$68),"")</f>
        <v/>
      </c>
      <c r="AL45" s="62" t="str">
        <f>IF(AND('Mapa final'!$AB$69="Baja",'Mapa final'!$AD$69="Catastrófico"),CONCATENATE("R10C",'Mapa final'!$R$69),"")</f>
        <v/>
      </c>
      <c r="AM45" s="63" t="str">
        <f>IF(AND('Mapa final'!$AB$70="Baja",'Mapa final'!$AD$70="Catastrófico"),CONCATENATE("R10C",'Mapa final'!$R$70),"")</f>
        <v/>
      </c>
      <c r="AN45" s="83"/>
      <c r="AO45" s="395"/>
      <c r="AP45" s="396"/>
      <c r="AQ45" s="396"/>
      <c r="AR45" s="396"/>
      <c r="AS45" s="396"/>
      <c r="AT45" s="397"/>
    </row>
    <row r="46" spans="1:80" ht="46.55" customHeight="1" x14ac:dyDescent="0.4">
      <c r="A46" s="83"/>
      <c r="B46" s="319"/>
      <c r="C46" s="319"/>
      <c r="D46" s="320"/>
      <c r="E46" s="357" t="s">
        <v>105</v>
      </c>
      <c r="F46" s="358"/>
      <c r="G46" s="358"/>
      <c r="H46" s="358"/>
      <c r="I46" s="359"/>
      <c r="J46" s="73" t="str">
        <f ca="1">IF(AND('Mapa final'!$AB$11="Muy Baja",'Mapa final'!$AD$11="Leve"),CONCATENATE("R1C",'Mapa final'!$R$11),"")</f>
        <v/>
      </c>
      <c r="K46" s="74" t="str">
        <f ca="1">IF(AND('Mapa final'!$AB$12="Muy Baja",'Mapa final'!$AD$12="Leve"),CONCATENATE("R1C",'Mapa final'!$R$12),"")</f>
        <v/>
      </c>
      <c r="L46" s="74" t="str">
        <f>IF(AND('Mapa final'!$AB$13="Muy Baja",'Mapa final'!$AD$13="Leve"),CONCATENATE("R1C",'Mapa final'!$R$13),"")</f>
        <v/>
      </c>
      <c r="M46" s="74" t="str">
        <f>IF(AND('Mapa final'!$AB$14="Muy Baja",'Mapa final'!$AD$14="Leve"),CONCATENATE("R1C",'Mapa final'!$R$14),"")</f>
        <v/>
      </c>
      <c r="N46" s="74" t="str">
        <f>IF(AND('Mapa final'!$AB$15="Muy Baja",'Mapa final'!$AD$15="Leve"),CONCATENATE("R1C",'Mapa final'!$R$15),"")</f>
        <v/>
      </c>
      <c r="O46" s="75" t="str">
        <f>IF(AND('Mapa final'!$AB$16="Muy Baja",'Mapa final'!$AD$16="Leve"),CONCATENATE("R1C",'Mapa final'!$R$16),"")</f>
        <v/>
      </c>
      <c r="P46" s="73" t="str">
        <f ca="1">IF(AND('Mapa final'!$AB$11="Muy Baja",'Mapa final'!$AD$11="Menor"),CONCATENATE("R1C",'Mapa final'!$R$11),"")</f>
        <v/>
      </c>
      <c r="Q46" s="74" t="str">
        <f ca="1">IF(AND('Mapa final'!$AB$12="Muy Baja",'Mapa final'!$AD$12="Menor"),CONCATENATE("R1C",'Mapa final'!$R$12),"")</f>
        <v/>
      </c>
      <c r="R46" s="74" t="str">
        <f>IF(AND('Mapa final'!$AB$13="Muy Baja",'Mapa final'!$AD$13="Menor"),CONCATENATE("R1C",'Mapa final'!$R$13),"")</f>
        <v/>
      </c>
      <c r="S46" s="74" t="str">
        <f>IF(AND('Mapa final'!$AB$14="Muy Baja",'Mapa final'!$AD$14="Menor"),CONCATENATE("R1C",'Mapa final'!$R$14),"")</f>
        <v/>
      </c>
      <c r="T46" s="74" t="str">
        <f>IF(AND('Mapa final'!$AB$15="Muy Baja",'Mapa final'!$AD$15="Menor"),CONCATENATE("R1C",'Mapa final'!$R$15),"")</f>
        <v/>
      </c>
      <c r="U46" s="75" t="str">
        <f>IF(AND('Mapa final'!$AB$16="Muy Baja",'Mapa final'!$AD$16="Menor"),CONCATENATE("R1C",'Mapa final'!$R$16),"")</f>
        <v/>
      </c>
      <c r="V46" s="64" t="str">
        <f ca="1">IF(AND('Mapa final'!$AB$11="Muy Baja",'Mapa final'!$AD$11="Moderado"),CONCATENATE("R1C",'Mapa final'!$R$11),"")</f>
        <v/>
      </c>
      <c r="W46" s="82" t="str">
        <f ca="1">IF(AND('Mapa final'!$AB$12="Muy Baja",'Mapa final'!$AD$12="Moderado"),CONCATENATE("R1C",'Mapa final'!$R$12),"")</f>
        <v/>
      </c>
      <c r="X46" s="65" t="str">
        <f>IF(AND('Mapa final'!$AB$13="Muy Baja",'Mapa final'!$AD$13="Moderado"),CONCATENATE("R1C",'Mapa final'!$R$13),"")</f>
        <v/>
      </c>
      <c r="Y46" s="65" t="str">
        <f>IF(AND('Mapa final'!$AB$14="Muy Baja",'Mapa final'!$AD$14="Moderado"),CONCATENATE("R1C",'Mapa final'!$R$14),"")</f>
        <v/>
      </c>
      <c r="Z46" s="65" t="str">
        <f>IF(AND('Mapa final'!$AB$15="Muy Baja",'Mapa final'!$AD$15="Moderado"),CONCATENATE("R1C",'Mapa final'!$R$15),"")</f>
        <v/>
      </c>
      <c r="AA46" s="66" t="str">
        <f>IF(AND('Mapa final'!$AB$16="Muy Baja",'Mapa final'!$AD$16="Moderado"),CONCATENATE("R1C",'Mapa final'!$R$16),"")</f>
        <v/>
      </c>
      <c r="AB46" s="45" t="str">
        <f ca="1">IF(AND('Mapa final'!$AB$11="Muy Baja",'Mapa final'!$AD$11="Mayor"),CONCATENATE("R1C",'Mapa final'!$R$11),"")</f>
        <v/>
      </c>
      <c r="AC46" s="46" t="str">
        <f ca="1">IF(AND('Mapa final'!$AB$12="Muy Baja",'Mapa final'!$AD$12="Mayor"),CONCATENATE("R1C",'Mapa final'!$R$12),"")</f>
        <v/>
      </c>
      <c r="AD46" s="46" t="str">
        <f>IF(AND('Mapa final'!$AB$13="Muy Baja",'Mapa final'!$AD$13="Mayor"),CONCATENATE("R1C",'Mapa final'!$R$13),"")</f>
        <v/>
      </c>
      <c r="AE46" s="46" t="str">
        <f>IF(AND('Mapa final'!$AB$14="Muy Baja",'Mapa final'!$AD$14="Mayor"),CONCATENATE("R1C",'Mapa final'!$R$14),"")</f>
        <v/>
      </c>
      <c r="AF46" s="46" t="str">
        <f>IF(AND('Mapa final'!$AB$15="Muy Baja",'Mapa final'!$AD$15="Mayor"),CONCATENATE("R1C",'Mapa final'!$R$15),"")</f>
        <v/>
      </c>
      <c r="AG46" s="47" t="str">
        <f>IF(AND('Mapa final'!$AB$16="Muy Baja",'Mapa final'!$AD$16="Mayor"),CONCATENATE("R1C",'Mapa final'!$R$16),"")</f>
        <v/>
      </c>
      <c r="AH46" s="48" t="str">
        <f ca="1">IF(AND('Mapa final'!$AB$11="Muy Baja",'Mapa final'!$AD$11="Catastrófico"),CONCATENATE("R1C",'Mapa final'!$R$11),"")</f>
        <v/>
      </c>
      <c r="AI46" s="49" t="str">
        <f ca="1">IF(AND('Mapa final'!$AB$12="Muy Baja",'Mapa final'!$AD$12="Catastrófico"),CONCATENATE("R1C",'Mapa final'!$R$12),"")</f>
        <v/>
      </c>
      <c r="AJ46" s="49" t="str">
        <f>IF(AND('Mapa final'!$AB$13="Muy Baja",'Mapa final'!$AD$13="Catastrófico"),CONCATENATE("R1C",'Mapa final'!$R$13),"")</f>
        <v/>
      </c>
      <c r="AK46" s="49" t="str">
        <f>IF(AND('Mapa final'!$AB$14="Muy Baja",'Mapa final'!$AD$14="Catastrófico"),CONCATENATE("R1C",'Mapa final'!$R$14),"")</f>
        <v/>
      </c>
      <c r="AL46" s="49" t="str">
        <f>IF(AND('Mapa final'!$AB$15="Muy Baja",'Mapa final'!$AD$15="Catastrófico"),CONCATENATE("R1C",'Mapa final'!$R$15),"")</f>
        <v/>
      </c>
      <c r="AM46" s="50" t="str">
        <f>IF(AND('Mapa final'!$AB$16="Muy Baja",'Mapa final'!$AD$16="Catastrófico"),CONCATENATE("R1C",'Mapa final'!$R$16),"")</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5" customHeight="1" x14ac:dyDescent="0.3">
      <c r="A47" s="83"/>
      <c r="B47" s="319"/>
      <c r="C47" s="319"/>
      <c r="D47" s="320"/>
      <c r="E47" s="376"/>
      <c r="F47" s="377"/>
      <c r="G47" s="377"/>
      <c r="H47" s="377"/>
      <c r="I47" s="362"/>
      <c r="J47" s="76" t="str">
        <f ca="1">IF(AND('Mapa final'!$AB$17="Muy Baja",'Mapa final'!$AD$17="Leve"),CONCATENATE("R2C",'Mapa final'!$R$17),"")</f>
        <v/>
      </c>
      <c r="K47" s="77" t="str">
        <f>IF(AND('Mapa final'!$AB$18="Muy Baja",'Mapa final'!$AD$18="Leve"),CONCATENATE("R2C",'Mapa final'!$R$18),"")</f>
        <v/>
      </c>
      <c r="L47" s="77" t="str">
        <f>IF(AND('Mapa final'!$AB$19="Muy Baja",'Mapa final'!$AD$19="Leve"),CONCATENATE("R2C",'Mapa final'!$R$19),"")</f>
        <v/>
      </c>
      <c r="M47" s="77" t="str">
        <f>IF(AND('Mapa final'!$AB$20="Muy Baja",'Mapa final'!$AD$20="Leve"),CONCATENATE("R2C",'Mapa final'!$R$20),"")</f>
        <v/>
      </c>
      <c r="N47" s="77" t="str">
        <f>IF(AND('Mapa final'!$AB$21="Muy Baja",'Mapa final'!$AD$21="Leve"),CONCATENATE("R2C",'Mapa final'!$R$21),"")</f>
        <v/>
      </c>
      <c r="O47" s="78" t="str">
        <f>IF(AND('Mapa final'!$AB$22="Muy Baja",'Mapa final'!$AD$22="Leve"),CONCATENATE("R2C",'Mapa final'!$R$22),"")</f>
        <v/>
      </c>
      <c r="P47" s="76" t="str">
        <f ca="1">IF(AND('Mapa final'!$AB$17="Muy Baja",'Mapa final'!$AD$17="Menor"),CONCATENATE("R2C",'Mapa final'!$R$17),"")</f>
        <v/>
      </c>
      <c r="Q47" s="77" t="str">
        <f>IF(AND('Mapa final'!$AB$18="Muy Baja",'Mapa final'!$AD$18="Menor"),CONCATENATE("R2C",'Mapa final'!$R$18),"")</f>
        <v/>
      </c>
      <c r="R47" s="77" t="str">
        <f>IF(AND('Mapa final'!$AB$19="Muy Baja",'Mapa final'!$AD$19="Menor"),CONCATENATE("R2C",'Mapa final'!$R$19),"")</f>
        <v/>
      </c>
      <c r="S47" s="77" t="str">
        <f>IF(AND('Mapa final'!$AB$20="Muy Baja",'Mapa final'!$AD$20="Menor"),CONCATENATE("R2C",'Mapa final'!$R$20),"")</f>
        <v/>
      </c>
      <c r="T47" s="77" t="str">
        <f>IF(AND('Mapa final'!$AB$21="Muy Baja",'Mapa final'!$AD$21="Menor"),CONCATENATE("R2C",'Mapa final'!$R$21),"")</f>
        <v/>
      </c>
      <c r="U47" s="78" t="str">
        <f>IF(AND('Mapa final'!$AB$22="Muy Baja",'Mapa final'!$AD$22="Menor"),CONCATENATE("R2C",'Mapa final'!$R$22),"")</f>
        <v/>
      </c>
      <c r="V47" s="67" t="str">
        <f ca="1">IF(AND('Mapa final'!$AB$17="Muy Baja",'Mapa final'!$AD$17="Moderado"),CONCATENATE("R2C",'Mapa final'!$R$17),"")</f>
        <v/>
      </c>
      <c r="W47" s="68" t="str">
        <f>IF(AND('Mapa final'!$AB$18="Muy Baja",'Mapa final'!$AD$18="Moderado"),CONCATENATE("R2C",'Mapa final'!$R$18),"")</f>
        <v/>
      </c>
      <c r="X47" s="68" t="str">
        <f>IF(AND('Mapa final'!$AB$19="Muy Baja",'Mapa final'!$AD$19="Moderado"),CONCATENATE("R2C",'Mapa final'!$R$19),"")</f>
        <v/>
      </c>
      <c r="Y47" s="68" t="str">
        <f>IF(AND('Mapa final'!$AB$20="Muy Baja",'Mapa final'!$AD$20="Moderado"),CONCATENATE("R2C",'Mapa final'!$R$20),"")</f>
        <v/>
      </c>
      <c r="Z47" s="68" t="str">
        <f>IF(AND('Mapa final'!$AB$21="Muy Baja",'Mapa final'!$AD$21="Moderado"),CONCATENATE("R2C",'Mapa final'!$R$21),"")</f>
        <v/>
      </c>
      <c r="AA47" s="69" t="str">
        <f>IF(AND('Mapa final'!$AB$22="Muy Baja",'Mapa final'!$AD$22="Moderado"),CONCATENATE("R2C",'Mapa final'!$R$22),"")</f>
        <v/>
      </c>
      <c r="AB47" s="51" t="str">
        <f ca="1">IF(AND('Mapa final'!$AB$17="Muy Baja",'Mapa final'!$AD$17="Mayor"),CONCATENATE("R2C",'Mapa final'!$R$17),"")</f>
        <v/>
      </c>
      <c r="AC47" s="52" t="str">
        <f>IF(AND('Mapa final'!$AB$18="Muy Baja",'Mapa final'!$AD$18="Mayor"),CONCATENATE("R2C",'Mapa final'!$R$18),"")</f>
        <v/>
      </c>
      <c r="AD47" s="52" t="str">
        <f>IF(AND('Mapa final'!$AB$19="Muy Baja",'Mapa final'!$AD$19="Mayor"),CONCATENATE("R2C",'Mapa final'!$R$19),"")</f>
        <v/>
      </c>
      <c r="AE47" s="52" t="str">
        <f>IF(AND('Mapa final'!$AB$20="Muy Baja",'Mapa final'!$AD$20="Mayor"),CONCATENATE("R2C",'Mapa final'!$R$20),"")</f>
        <v/>
      </c>
      <c r="AF47" s="52" t="str">
        <f>IF(AND('Mapa final'!$AB$21="Muy Baja",'Mapa final'!$AD$21="Mayor"),CONCATENATE("R2C",'Mapa final'!$R$21),"")</f>
        <v/>
      </c>
      <c r="AG47" s="53" t="str">
        <f>IF(AND('Mapa final'!$AB$22="Muy Baja",'Mapa final'!$AD$22="Mayor"),CONCATENATE("R2C",'Mapa final'!$R$22),"")</f>
        <v/>
      </c>
      <c r="AH47" s="54" t="str">
        <f ca="1">IF(AND('Mapa final'!$AB$17="Muy Baja",'Mapa final'!$AD$17="Catastrófico"),CONCATENATE("R2C",'Mapa final'!$R$17),"")</f>
        <v/>
      </c>
      <c r="AI47" s="55" t="str">
        <f>IF(AND('Mapa final'!$AB$18="Muy Baja",'Mapa final'!$AD$18="Catastrófico"),CONCATENATE("R2C",'Mapa final'!$R$18),"")</f>
        <v/>
      </c>
      <c r="AJ47" s="55" t="str">
        <f>IF(AND('Mapa final'!$AB$19="Muy Baja",'Mapa final'!$AD$19="Catastrófico"),CONCATENATE("R2C",'Mapa final'!$R$19),"")</f>
        <v/>
      </c>
      <c r="AK47" s="55" t="str">
        <f>IF(AND('Mapa final'!$AB$20="Muy Baja",'Mapa final'!$AD$20="Catastrófico"),CONCATENATE("R2C",'Mapa final'!$R$20),"")</f>
        <v/>
      </c>
      <c r="AL47" s="55" t="str">
        <f>IF(AND('Mapa final'!$AB$21="Muy Baja",'Mapa final'!$AD$21="Catastrófico"),CONCATENATE("R2C",'Mapa final'!$R$21),"")</f>
        <v/>
      </c>
      <c r="AM47" s="56" t="str">
        <f>IF(AND('Mapa final'!$AB$22="Muy Baja",'Mapa final'!$AD$22="Catastrófico"),CONCATENATE("R2C",'Mapa final'!$R$22),"")</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4.95" customHeight="1" x14ac:dyDescent="0.3">
      <c r="A48" s="83"/>
      <c r="B48" s="319"/>
      <c r="C48" s="319"/>
      <c r="D48" s="320"/>
      <c r="E48" s="376"/>
      <c r="F48" s="377"/>
      <c r="G48" s="377"/>
      <c r="H48" s="377"/>
      <c r="I48" s="362"/>
      <c r="J48" s="76" t="str">
        <f ca="1">IF(AND('Mapa final'!$AB$23="Muy Baja",'Mapa final'!$AD$23="Leve"),CONCATENATE("R3C",'Mapa final'!$R$23),"")</f>
        <v/>
      </c>
      <c r="K48" s="77" t="str">
        <f ca="1">IF(AND('Mapa final'!$AB$24="Muy Baja",'Mapa final'!$AD$24="Leve"),CONCATENATE("R3C",'Mapa final'!$R$24),"")</f>
        <v/>
      </c>
      <c r="L48" s="77" t="str">
        <f>IF(AND('Mapa final'!$AB$25="Muy Baja",'Mapa final'!$AD$25="Leve"),CONCATENATE("R3C",'Mapa final'!$R$25),"")</f>
        <v/>
      </c>
      <c r="M48" s="77" t="str">
        <f>IF(AND('Mapa final'!$AB$26="Muy Baja",'Mapa final'!$AD$26="Leve"),CONCATENATE("R3C",'Mapa final'!$R$26),"")</f>
        <v/>
      </c>
      <c r="N48" s="77" t="str">
        <f>IF(AND('Mapa final'!$AB$27="Muy Baja",'Mapa final'!$AD$27="Leve"),CONCATENATE("R3C",'Mapa final'!$R$27),"")</f>
        <v/>
      </c>
      <c r="O48" s="78" t="str">
        <f>IF(AND('Mapa final'!$AB$28="Muy Baja",'Mapa final'!$AD$28="Leve"),CONCATENATE("R3C",'Mapa final'!$R$28),"")</f>
        <v/>
      </c>
      <c r="P48" s="76" t="str">
        <f ca="1">IF(AND('Mapa final'!$AB$23="Muy Baja",'Mapa final'!$AD$23="Menor"),CONCATENATE("R3C",'Mapa final'!$R$23),"")</f>
        <v/>
      </c>
      <c r="Q48" s="77" t="str">
        <f ca="1">IF(AND('Mapa final'!$AB$24="Muy Baja",'Mapa final'!$AD$24="Menor"),CONCATENATE("R3C",'Mapa final'!$R$24),"")</f>
        <v/>
      </c>
      <c r="R48" s="77" t="str">
        <f>IF(AND('Mapa final'!$AB$25="Muy Baja",'Mapa final'!$AD$25="Menor"),CONCATENATE("R3C",'Mapa final'!$R$25),"")</f>
        <v/>
      </c>
      <c r="S48" s="77" t="str">
        <f>IF(AND('Mapa final'!$AB$26="Muy Baja",'Mapa final'!$AD$26="Menor"),CONCATENATE("R3C",'Mapa final'!$R$26),"")</f>
        <v/>
      </c>
      <c r="T48" s="77" t="str">
        <f>IF(AND('Mapa final'!$AB$27="Muy Baja",'Mapa final'!$AD$27="Menor"),CONCATENATE("R3C",'Mapa final'!$R$27),"")</f>
        <v/>
      </c>
      <c r="U48" s="78" t="str">
        <f>IF(AND('Mapa final'!$AB$28="Muy Baja",'Mapa final'!$AD$28="Menor"),CONCATENATE("R3C",'Mapa final'!$R$28),"")</f>
        <v/>
      </c>
      <c r="V48" s="67" t="str">
        <f ca="1">IF(AND('Mapa final'!$AB$23="Muy Baja",'Mapa final'!$AD$23="Moderado"),CONCATENATE("R3C",'Mapa final'!$R$23),"")</f>
        <v/>
      </c>
      <c r="W48" s="68" t="str">
        <f ca="1">IF(AND('Mapa final'!$AB$24="Muy Baja",'Mapa final'!$AD$24="Moderado"),CONCATENATE("R3C",'Mapa final'!$R$24),"")</f>
        <v/>
      </c>
      <c r="X48" s="68" t="str">
        <f>IF(AND('Mapa final'!$AB$25="Muy Baja",'Mapa final'!$AD$25="Moderado"),CONCATENATE("R3C",'Mapa final'!$R$25),"")</f>
        <v/>
      </c>
      <c r="Y48" s="68" t="str">
        <f>IF(AND('Mapa final'!$AB$26="Muy Baja",'Mapa final'!$AD$26="Moderado"),CONCATENATE("R3C",'Mapa final'!$R$26),"")</f>
        <v/>
      </c>
      <c r="Z48" s="68" t="str">
        <f>IF(AND('Mapa final'!$AB$27="Muy Baja",'Mapa final'!$AD$27="Moderado"),CONCATENATE("R3C",'Mapa final'!$R$27),"")</f>
        <v/>
      </c>
      <c r="AA48" s="69" t="str">
        <f>IF(AND('Mapa final'!$AB$28="Muy Baja",'Mapa final'!$AD$28="Moderado"),CONCATENATE("R3C",'Mapa final'!$R$28),"")</f>
        <v/>
      </c>
      <c r="AB48" s="51" t="str">
        <f ca="1">IF(AND('Mapa final'!$AB$23="Muy Baja",'Mapa final'!$AD$23="Mayor"),CONCATENATE("R3C",'Mapa final'!$R$23),"")</f>
        <v/>
      </c>
      <c r="AC48" s="52" t="str">
        <f ca="1">IF(AND('Mapa final'!$AB$24="Muy Baja",'Mapa final'!$AD$24="Mayor"),CONCATENATE("R3C",'Mapa final'!$R$24),"")</f>
        <v/>
      </c>
      <c r="AD48" s="52" t="str">
        <f>IF(AND('Mapa final'!$AB$25="Muy Baja",'Mapa final'!$AD$25="Mayor"),CONCATENATE("R3C",'Mapa final'!$R$25),"")</f>
        <v/>
      </c>
      <c r="AE48" s="52" t="str">
        <f>IF(AND('Mapa final'!$AB$26="Muy Baja",'Mapa final'!$AD$26="Mayor"),CONCATENATE("R3C",'Mapa final'!$R$26),"")</f>
        <v/>
      </c>
      <c r="AF48" s="52" t="str">
        <f>IF(AND('Mapa final'!$AB$27="Muy Baja",'Mapa final'!$AD$27="Mayor"),CONCATENATE("R3C",'Mapa final'!$R$27),"")</f>
        <v/>
      </c>
      <c r="AG48" s="53" t="str">
        <f>IF(AND('Mapa final'!$AB$28="Muy Baja",'Mapa final'!$AD$28="Mayor"),CONCATENATE("R3C",'Mapa final'!$R$28),"")</f>
        <v/>
      </c>
      <c r="AH48" s="54" t="str">
        <f ca="1">IF(AND('Mapa final'!$AB$23="Muy Baja",'Mapa final'!$AD$23="Catastrófico"),CONCATENATE("R3C",'Mapa final'!$R$23),"")</f>
        <v/>
      </c>
      <c r="AI48" s="55" t="str">
        <f ca="1">IF(AND('Mapa final'!$AB$24="Muy Baja",'Mapa final'!$AD$24="Catastrófico"),CONCATENATE("R3C",'Mapa final'!$R$24),"")</f>
        <v/>
      </c>
      <c r="AJ48" s="55" t="str">
        <f>IF(AND('Mapa final'!$AB$25="Muy Baja",'Mapa final'!$AD$25="Catastrófico"),CONCATENATE("R3C",'Mapa final'!$R$25),"")</f>
        <v/>
      </c>
      <c r="AK48" s="55" t="str">
        <f>IF(AND('Mapa final'!$AB$26="Muy Baja",'Mapa final'!$AD$26="Catastrófico"),CONCATENATE("R3C",'Mapa final'!$R$26),"")</f>
        <v/>
      </c>
      <c r="AL48" s="55" t="str">
        <f>IF(AND('Mapa final'!$AB$27="Muy Baja",'Mapa final'!$AD$27="Catastrófico"),CONCATENATE("R3C",'Mapa final'!$R$27),"")</f>
        <v/>
      </c>
      <c r="AM48" s="56" t="str">
        <f>IF(AND('Mapa final'!$AB$28="Muy Baja",'Mapa final'!$AD$28="Catastrófico"),CONCATENATE("R3C",'Mapa final'!$R$28),"")</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4.95" customHeight="1" x14ac:dyDescent="0.3">
      <c r="A49" s="83"/>
      <c r="B49" s="319"/>
      <c r="C49" s="319"/>
      <c r="D49" s="320"/>
      <c r="E49" s="360"/>
      <c r="F49" s="361"/>
      <c r="G49" s="361"/>
      <c r="H49" s="361"/>
      <c r="I49" s="362"/>
      <c r="J49" s="76" t="str">
        <f ca="1">IF(AND('Mapa final'!$AB$29="Muy Baja",'Mapa final'!$AD$29="Leve"),CONCATENATE("R4C",'Mapa final'!$R$29),"")</f>
        <v/>
      </c>
      <c r="K49" s="77" t="str">
        <f>IF(AND('Mapa final'!$AB$30="Muy Baja",'Mapa final'!$AD$30="Leve"),CONCATENATE("R4C",'Mapa final'!$R$30),"")</f>
        <v/>
      </c>
      <c r="L49" s="77" t="str">
        <f>IF(AND('Mapa final'!$AB$31="Muy Baja",'Mapa final'!$AD$31="Leve"),CONCATENATE("R4C",'Mapa final'!$R$31),"")</f>
        <v/>
      </c>
      <c r="M49" s="77" t="str">
        <f>IF(AND('Mapa final'!$AB$32="Muy Baja",'Mapa final'!$AD$32="Leve"),CONCATENATE("R4C",'Mapa final'!$R$32),"")</f>
        <v/>
      </c>
      <c r="N49" s="77" t="str">
        <f>IF(AND('Mapa final'!$AB$33="Muy Baja",'Mapa final'!$AD$33="Leve"),CONCATENATE("R4C",'Mapa final'!$R$33),"")</f>
        <v/>
      </c>
      <c r="O49" s="78" t="str">
        <f>IF(AND('Mapa final'!$AB$34="Muy Baja",'Mapa final'!$AD$34="Leve"),CONCATENATE("R4C",'Mapa final'!$R$34),"")</f>
        <v/>
      </c>
      <c r="P49" s="76" t="str">
        <f ca="1">IF(AND('Mapa final'!$AB$29="Muy Baja",'Mapa final'!$AD$29="Menor"),CONCATENATE("R4C",'Mapa final'!$R$29),"")</f>
        <v/>
      </c>
      <c r="Q49" s="77" t="str">
        <f>IF(AND('Mapa final'!$AB$30="Muy Baja",'Mapa final'!$AD$30="Menor"),CONCATENATE("R4C",'Mapa final'!$R$30),"")</f>
        <v/>
      </c>
      <c r="R49" s="77" t="str">
        <f>IF(AND('Mapa final'!$AB$31="Muy Baja",'Mapa final'!$AD$31="Menor"),CONCATENATE("R4C",'Mapa final'!$R$31),"")</f>
        <v/>
      </c>
      <c r="S49" s="77" t="str">
        <f>IF(AND('Mapa final'!$AB$32="Muy Baja",'Mapa final'!$AD$32="Menor"),CONCATENATE("R4C",'Mapa final'!$R$32),"")</f>
        <v/>
      </c>
      <c r="T49" s="77" t="str">
        <f>IF(AND('Mapa final'!$AB$33="Muy Baja",'Mapa final'!$AD$33="Menor"),CONCATENATE("R4C",'Mapa final'!$R$33),"")</f>
        <v/>
      </c>
      <c r="U49" s="78" t="str">
        <f>IF(AND('Mapa final'!$AB$34="Muy Baja",'Mapa final'!$AD$34="Menor"),CONCATENATE("R4C",'Mapa final'!$R$34),"")</f>
        <v/>
      </c>
      <c r="V49" s="67" t="str">
        <f ca="1">IF(AND('Mapa final'!$AB$29="Muy Baja",'Mapa final'!$AD$29="Moderado"),CONCATENATE("R4C",'Mapa final'!$R$29),"")</f>
        <v/>
      </c>
      <c r="W49" s="68" t="str">
        <f>IF(AND('Mapa final'!$AB$30="Muy Baja",'Mapa final'!$AD$30="Moderado"),CONCATENATE("R4C",'Mapa final'!$R$30),"")</f>
        <v/>
      </c>
      <c r="X49" s="68" t="str">
        <f>IF(AND('Mapa final'!$AB$31="Muy Baja",'Mapa final'!$AD$31="Moderado"),CONCATENATE("R4C",'Mapa final'!$R$31),"")</f>
        <v/>
      </c>
      <c r="Y49" s="68" t="str">
        <f>IF(AND('Mapa final'!$AB$32="Muy Baja",'Mapa final'!$AD$32="Moderado"),CONCATENATE("R4C",'Mapa final'!$R$32),"")</f>
        <v/>
      </c>
      <c r="Z49" s="68" t="str">
        <f>IF(AND('Mapa final'!$AB$33="Muy Baja",'Mapa final'!$AD$33="Moderado"),CONCATENATE("R4C",'Mapa final'!$R$33),"")</f>
        <v/>
      </c>
      <c r="AA49" s="69" t="str">
        <f>IF(AND('Mapa final'!$AB$34="Muy Baja",'Mapa final'!$AD$34="Moderado"),CONCATENATE("R4C",'Mapa final'!$R$34),"")</f>
        <v/>
      </c>
      <c r="AB49" s="51" t="str">
        <f ca="1">IF(AND('Mapa final'!$AB$29="Muy Baja",'Mapa final'!$AD$29="Mayor"),CONCATENATE("R4C",'Mapa final'!$R$29),"")</f>
        <v/>
      </c>
      <c r="AC49" s="52" t="str">
        <f>IF(AND('Mapa final'!$AB$30="Muy Baja",'Mapa final'!$AD$30="Mayor"),CONCATENATE("R4C",'Mapa final'!$R$30),"")</f>
        <v/>
      </c>
      <c r="AD49" s="52" t="str">
        <f>IF(AND('Mapa final'!$AB$31="Muy Baja",'Mapa final'!$AD$31="Mayor"),CONCATENATE("R4C",'Mapa final'!$R$31),"")</f>
        <v/>
      </c>
      <c r="AE49" s="52" t="str">
        <f>IF(AND('Mapa final'!$AB$32="Muy Baja",'Mapa final'!$AD$32="Mayor"),CONCATENATE("R4C",'Mapa final'!$R$32),"")</f>
        <v/>
      </c>
      <c r="AF49" s="52" t="str">
        <f>IF(AND('Mapa final'!$AB$33="Muy Baja",'Mapa final'!$AD$33="Mayor"),CONCATENATE("R4C",'Mapa final'!$R$33),"")</f>
        <v/>
      </c>
      <c r="AG49" s="53" t="str">
        <f>IF(AND('Mapa final'!$AB$34="Muy Baja",'Mapa final'!$AD$34="Mayor"),CONCATENATE("R4C",'Mapa final'!$R$34),"")</f>
        <v/>
      </c>
      <c r="AH49" s="54" t="str">
        <f ca="1">IF(AND('Mapa final'!$AB$29="Muy Baja",'Mapa final'!$AD$29="Catastrófico"),CONCATENATE("R4C",'Mapa final'!$R$29),"")</f>
        <v/>
      </c>
      <c r="AI49" s="55" t="str">
        <f>IF(AND('Mapa final'!$AB$30="Muy Baja",'Mapa final'!$AD$30="Catastrófico"),CONCATENATE("R4C",'Mapa final'!$R$30),"")</f>
        <v/>
      </c>
      <c r="AJ49" s="55" t="str">
        <f>IF(AND('Mapa final'!$AB$31="Muy Baja",'Mapa final'!$AD$31="Catastrófico"),CONCATENATE("R4C",'Mapa final'!$R$31),"")</f>
        <v/>
      </c>
      <c r="AK49" s="55" t="str">
        <f>IF(AND('Mapa final'!$AB$32="Muy Baja",'Mapa final'!$AD$32="Catastrófico"),CONCATENATE("R4C",'Mapa final'!$R$32),"")</f>
        <v/>
      </c>
      <c r="AL49" s="55" t="str">
        <f>IF(AND('Mapa final'!$AB$33="Muy Baja",'Mapa final'!$AD$33="Catastrófico"),CONCATENATE("R4C",'Mapa final'!$R$33),"")</f>
        <v/>
      </c>
      <c r="AM49" s="56" t="str">
        <f>IF(AND('Mapa final'!$AB$34="Muy Baja",'Mapa final'!$AD$34="Catastrófico"),CONCATENATE("R4C",'Mapa final'!$R$34),"")</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4.95" customHeight="1" x14ac:dyDescent="0.3">
      <c r="A50" s="83"/>
      <c r="B50" s="319"/>
      <c r="C50" s="319"/>
      <c r="D50" s="320"/>
      <c r="E50" s="360"/>
      <c r="F50" s="361"/>
      <c r="G50" s="361"/>
      <c r="H50" s="361"/>
      <c r="I50" s="362"/>
      <c r="J50" s="76" t="str">
        <f ca="1">IF(AND('Mapa final'!$AB$35="Muy Baja",'Mapa final'!$AD$35="Leve"),CONCATENATE("R5C",'Mapa final'!$R$35),"")</f>
        <v/>
      </c>
      <c r="K50" s="77" t="str">
        <f>IF(AND('Mapa final'!$AB$36="Muy Baja",'Mapa final'!$AD$36="Leve"),CONCATENATE("R5C",'Mapa final'!$R$36),"")</f>
        <v/>
      </c>
      <c r="L50" s="77" t="str">
        <f>IF(AND('Mapa final'!$AB$37="Muy Baja",'Mapa final'!$AD$37="Leve"),CONCATENATE("R5C",'Mapa final'!$R$37),"")</f>
        <v/>
      </c>
      <c r="M50" s="77" t="str">
        <f>IF(AND('Mapa final'!$AB$38="Muy Baja",'Mapa final'!$AD$38="Leve"),CONCATENATE("R5C",'Mapa final'!$R$38),"")</f>
        <v/>
      </c>
      <c r="N50" s="77" t="str">
        <f>IF(AND('Mapa final'!$AB$39="Muy Baja",'Mapa final'!$AD$39="Leve"),CONCATENATE("R5C",'Mapa final'!$R$39),"")</f>
        <v/>
      </c>
      <c r="O50" s="78" t="str">
        <f>IF(AND('Mapa final'!$AB$40="Muy Baja",'Mapa final'!$AD$40="Leve"),CONCATENATE("R5C",'Mapa final'!$R$40),"")</f>
        <v/>
      </c>
      <c r="P50" s="76" t="str">
        <f ca="1">IF(AND('Mapa final'!$AB$35="Muy Baja",'Mapa final'!$AD$35="Menor"),CONCATENATE("R5C",'Mapa final'!$R$35),"")</f>
        <v/>
      </c>
      <c r="Q50" s="77" t="str">
        <f>IF(AND('Mapa final'!$AB$36="Muy Baja",'Mapa final'!$AD$36="Menor"),CONCATENATE("R5C",'Mapa final'!$R$36),"")</f>
        <v/>
      </c>
      <c r="R50" s="77" t="str">
        <f>IF(AND('Mapa final'!$AB$37="Muy Baja",'Mapa final'!$AD$37="Menor"),CONCATENATE("R5C",'Mapa final'!$R$37),"")</f>
        <v/>
      </c>
      <c r="S50" s="77" t="str">
        <f>IF(AND('Mapa final'!$AB$38="Muy Baja",'Mapa final'!$AD$38="Menor"),CONCATENATE("R5C",'Mapa final'!$R$38),"")</f>
        <v/>
      </c>
      <c r="T50" s="77" t="str">
        <f>IF(AND('Mapa final'!$AB$39="Muy Baja",'Mapa final'!$AD$39="Menor"),CONCATENATE("R5C",'Mapa final'!$R$39),"")</f>
        <v/>
      </c>
      <c r="U50" s="78" t="str">
        <f>IF(AND('Mapa final'!$AB$40="Muy Baja",'Mapa final'!$AD$40="Menor"),CONCATENATE("R5C",'Mapa final'!$R$40),"")</f>
        <v/>
      </c>
      <c r="V50" s="67" t="str">
        <f ca="1">IF(AND('Mapa final'!$AB$35="Muy Baja",'Mapa final'!$AD$35="Moderado"),CONCATENATE("R5C",'Mapa final'!$R$35),"")</f>
        <v/>
      </c>
      <c r="W50" s="68" t="str">
        <f>IF(AND('Mapa final'!$AB$36="Muy Baja",'Mapa final'!$AD$36="Moderado"),CONCATENATE("R5C",'Mapa final'!$R$36),"")</f>
        <v/>
      </c>
      <c r="X50" s="68" t="str">
        <f>IF(AND('Mapa final'!$AB$37="Muy Baja",'Mapa final'!$AD$37="Moderado"),CONCATENATE("R5C",'Mapa final'!$R$37),"")</f>
        <v/>
      </c>
      <c r="Y50" s="68" t="str">
        <f>IF(AND('Mapa final'!$AB$38="Muy Baja",'Mapa final'!$AD$38="Moderado"),CONCATENATE("R5C",'Mapa final'!$R$38),"")</f>
        <v/>
      </c>
      <c r="Z50" s="68" t="str">
        <f>IF(AND('Mapa final'!$AB$39="Muy Baja",'Mapa final'!$AD$39="Moderado"),CONCATENATE("R5C",'Mapa final'!$R$39),"")</f>
        <v/>
      </c>
      <c r="AA50" s="69" t="str">
        <f>IF(AND('Mapa final'!$AB$40="Muy Baja",'Mapa final'!$AD$40="Moderado"),CONCATENATE("R5C",'Mapa final'!$R$40),"")</f>
        <v/>
      </c>
      <c r="AB50" s="51" t="str">
        <f ca="1">IF(AND('Mapa final'!$AB$35="Muy Baja",'Mapa final'!$AD$35="Mayor"),CONCATENATE("R5C",'Mapa final'!$R$35),"")</f>
        <v/>
      </c>
      <c r="AC50" s="52" t="str">
        <f>IF(AND('Mapa final'!$AB$36="Muy Baja",'Mapa final'!$AD$36="Mayor"),CONCATENATE("R5C",'Mapa final'!$R$36),"")</f>
        <v/>
      </c>
      <c r="AD50" s="57" t="str">
        <f>IF(AND('Mapa final'!$AB$37="Muy Baja",'Mapa final'!$AD$37="Mayor"),CONCATENATE("R5C",'Mapa final'!$R$37),"")</f>
        <v/>
      </c>
      <c r="AE50" s="57" t="str">
        <f>IF(AND('Mapa final'!$AB$38="Muy Baja",'Mapa final'!$AD$38="Mayor"),CONCATENATE("R5C",'Mapa final'!$R$38),"")</f>
        <v/>
      </c>
      <c r="AF50" s="57" t="str">
        <f>IF(AND('Mapa final'!$AB$39="Muy Baja",'Mapa final'!$AD$39="Mayor"),CONCATENATE("R5C",'Mapa final'!$R$39),"")</f>
        <v/>
      </c>
      <c r="AG50" s="53" t="str">
        <f>IF(AND('Mapa final'!$AB$40="Muy Baja",'Mapa final'!$AD$40="Mayor"),CONCATENATE("R5C",'Mapa final'!$R$40),"")</f>
        <v/>
      </c>
      <c r="AH50" s="54" t="str">
        <f ca="1">IF(AND('Mapa final'!$AB$35="Muy Baja",'Mapa final'!$AD$35="Catastrófico"),CONCATENATE("R5C",'Mapa final'!$R$35),"")</f>
        <v/>
      </c>
      <c r="AI50" s="55" t="str">
        <f>IF(AND('Mapa final'!$AB$36="Muy Baja",'Mapa final'!$AD$36="Catastrófico"),CONCATENATE("R5C",'Mapa final'!$R$36),"")</f>
        <v/>
      </c>
      <c r="AJ50" s="55" t="str">
        <f>IF(AND('Mapa final'!$AB$37="Muy Baja",'Mapa final'!$AD$37="Catastrófico"),CONCATENATE("R5C",'Mapa final'!$R$37),"")</f>
        <v/>
      </c>
      <c r="AK50" s="55" t="str">
        <f>IF(AND('Mapa final'!$AB$38="Muy Baja",'Mapa final'!$AD$38="Catastrófico"),CONCATENATE("R5C",'Mapa final'!$R$38),"")</f>
        <v/>
      </c>
      <c r="AL50" s="55" t="str">
        <f>IF(AND('Mapa final'!$AB$39="Muy Baja",'Mapa final'!$AD$39="Catastrófico"),CONCATENATE("R5C",'Mapa final'!$R$39),"")</f>
        <v/>
      </c>
      <c r="AM50" s="56" t="str">
        <f>IF(AND('Mapa final'!$AB$40="Muy Baja",'Mapa final'!$AD$40="Catastrófico"),CONCATENATE("R5C",'Mapa final'!$R$40),"")</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4.95" customHeight="1" x14ac:dyDescent="0.3">
      <c r="A51" s="83"/>
      <c r="B51" s="319"/>
      <c r="C51" s="319"/>
      <c r="D51" s="320"/>
      <c r="E51" s="360"/>
      <c r="F51" s="361"/>
      <c r="G51" s="361"/>
      <c r="H51" s="361"/>
      <c r="I51" s="362"/>
      <c r="J51" s="76" t="str">
        <f ca="1">IF(AND('Mapa final'!$AB$41="Muy Baja",'Mapa final'!$AD$41="Leve"),CONCATENATE("R6C",'Mapa final'!$R$41),"")</f>
        <v/>
      </c>
      <c r="K51" s="77" t="str">
        <f>IF(AND('Mapa final'!$AB$42="Muy Baja",'Mapa final'!$AD$42="Leve"),CONCATENATE("R6C",'Mapa final'!$R$42),"")</f>
        <v/>
      </c>
      <c r="L51" s="77" t="str">
        <f>IF(AND('Mapa final'!$AB$43="Muy Baja",'Mapa final'!$AD$43="Leve"),CONCATENATE("R6C",'Mapa final'!$R$43),"")</f>
        <v/>
      </c>
      <c r="M51" s="77" t="str">
        <f>IF(AND('Mapa final'!$AB$44="Muy Baja",'Mapa final'!$AD$44="Leve"),CONCATENATE("R6C",'Mapa final'!$R$44),"")</f>
        <v/>
      </c>
      <c r="N51" s="77" t="str">
        <f>IF(AND('Mapa final'!$AB$45="Muy Baja",'Mapa final'!$AD$45="Leve"),CONCATENATE("R6C",'Mapa final'!$R$45),"")</f>
        <v/>
      </c>
      <c r="O51" s="78" t="str">
        <f>IF(AND('Mapa final'!$AB$46="Muy Baja",'Mapa final'!$AD$46="Leve"),CONCATENATE("R6C",'Mapa final'!$R$46),"")</f>
        <v/>
      </c>
      <c r="P51" s="76" t="str">
        <f ca="1">IF(AND('Mapa final'!$AB$41="Muy Baja",'Mapa final'!$AD$41="Menor"),CONCATENATE("R6C",'Mapa final'!$R$41),"")</f>
        <v/>
      </c>
      <c r="Q51" s="77" t="str">
        <f>IF(AND('Mapa final'!$AB$42="Muy Baja",'Mapa final'!$AD$42="Menor"),CONCATENATE("R6C",'Mapa final'!$R$42),"")</f>
        <v/>
      </c>
      <c r="R51" s="77" t="str">
        <f>IF(AND('Mapa final'!$AB$43="Muy Baja",'Mapa final'!$AD$43="Menor"),CONCATENATE("R6C",'Mapa final'!$R$43),"")</f>
        <v/>
      </c>
      <c r="S51" s="77" t="str">
        <f>IF(AND('Mapa final'!$AB$44="Muy Baja",'Mapa final'!$AD$44="Menor"),CONCATENATE("R6C",'Mapa final'!$R$44),"")</f>
        <v/>
      </c>
      <c r="T51" s="77" t="str">
        <f>IF(AND('Mapa final'!$AB$45="Muy Baja",'Mapa final'!$AD$45="Menor"),CONCATENATE("R6C",'Mapa final'!$R$45),"")</f>
        <v/>
      </c>
      <c r="U51" s="78" t="str">
        <f>IF(AND('Mapa final'!$AB$46="Muy Baja",'Mapa final'!$AD$46="Menor"),CONCATENATE("R6C",'Mapa final'!$R$46),"")</f>
        <v/>
      </c>
      <c r="V51" s="67" t="str">
        <f ca="1">IF(AND('Mapa final'!$AB$41="Muy Baja",'Mapa final'!$AD$41="Moderado"),CONCATENATE("R6C",'Mapa final'!$R$41),"")</f>
        <v/>
      </c>
      <c r="W51" s="68" t="str">
        <f>IF(AND('Mapa final'!$AB$42="Muy Baja",'Mapa final'!$AD$42="Moderado"),CONCATENATE("R6C",'Mapa final'!$R$42),"")</f>
        <v/>
      </c>
      <c r="X51" s="68" t="str">
        <f>IF(AND('Mapa final'!$AB$43="Muy Baja",'Mapa final'!$AD$43="Moderado"),CONCATENATE("R6C",'Mapa final'!$R$43),"")</f>
        <v/>
      </c>
      <c r="Y51" s="68" t="str">
        <f>IF(AND('Mapa final'!$AB$44="Muy Baja",'Mapa final'!$AD$44="Moderado"),CONCATENATE("R6C",'Mapa final'!$R$44),"")</f>
        <v/>
      </c>
      <c r="Z51" s="68" t="str">
        <f>IF(AND('Mapa final'!$AB$45="Muy Baja",'Mapa final'!$AD$45="Moderado"),CONCATENATE("R6C",'Mapa final'!$R$45),"")</f>
        <v/>
      </c>
      <c r="AA51" s="69" t="str">
        <f>IF(AND('Mapa final'!$AB$46="Muy Baja",'Mapa final'!$AD$46="Moderado"),CONCATENATE("R6C",'Mapa final'!$R$46),"")</f>
        <v/>
      </c>
      <c r="AB51" s="51" t="str">
        <f ca="1">IF(AND('Mapa final'!$AB$41="Muy Baja",'Mapa final'!$AD$41="Mayor"),CONCATENATE("R6C",'Mapa final'!$R$41),"")</f>
        <v/>
      </c>
      <c r="AC51" s="52" t="str">
        <f>IF(AND('Mapa final'!$AB$42="Muy Baja",'Mapa final'!$AD$42="Mayor"),CONCATENATE("R6C",'Mapa final'!$R$42),"")</f>
        <v/>
      </c>
      <c r="AD51" s="57" t="str">
        <f>IF(AND('Mapa final'!$AB$43="Muy Baja",'Mapa final'!$AD$43="Mayor"),CONCATENATE("R6C",'Mapa final'!$R$43),"")</f>
        <v/>
      </c>
      <c r="AE51" s="57" t="str">
        <f>IF(AND('Mapa final'!$AB$44="Muy Baja",'Mapa final'!$AD$44="Mayor"),CONCATENATE("R6C",'Mapa final'!$R$44),"")</f>
        <v/>
      </c>
      <c r="AF51" s="57" t="str">
        <f>IF(AND('Mapa final'!$AB$45="Muy Baja",'Mapa final'!$AD$45="Mayor"),CONCATENATE("R6C",'Mapa final'!$R$45),"")</f>
        <v/>
      </c>
      <c r="AG51" s="53" t="str">
        <f>IF(AND('Mapa final'!$AB$46="Muy Baja",'Mapa final'!$AD$46="Mayor"),CONCATENATE("R6C",'Mapa final'!$R$46),"")</f>
        <v/>
      </c>
      <c r="AH51" s="54" t="str">
        <f ca="1">IF(AND('Mapa final'!$AB$41="Muy Baja",'Mapa final'!$AD$41="Catastrófico"),CONCATENATE("R6C",'Mapa final'!$R$41),"")</f>
        <v/>
      </c>
      <c r="AI51" s="55" t="str">
        <f>IF(AND('Mapa final'!$AB$42="Muy Baja",'Mapa final'!$AD$42="Catastrófico"),CONCATENATE("R6C",'Mapa final'!$R$42),"")</f>
        <v/>
      </c>
      <c r="AJ51" s="55" t="str">
        <f>IF(AND('Mapa final'!$AB$43="Muy Baja",'Mapa final'!$AD$43="Catastrófico"),CONCATENATE("R6C",'Mapa final'!$R$43),"")</f>
        <v/>
      </c>
      <c r="AK51" s="55" t="str">
        <f>IF(AND('Mapa final'!$AB$44="Muy Baja",'Mapa final'!$AD$44="Catastrófico"),CONCATENATE("R6C",'Mapa final'!$R$44),"")</f>
        <v/>
      </c>
      <c r="AL51" s="55" t="str">
        <f>IF(AND('Mapa final'!$AB$45="Muy Baja",'Mapa final'!$AD$45="Catastrófico"),CONCATENATE("R6C",'Mapa final'!$R$45),"")</f>
        <v/>
      </c>
      <c r="AM51" s="56" t="str">
        <f>IF(AND('Mapa final'!$AB$46="Muy Baja",'Mapa final'!$AD$46="Catastrófico"),CONCATENATE("R6C",'Mapa final'!$R$46),"")</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4.95" customHeight="1" x14ac:dyDescent="0.3">
      <c r="A52" s="83"/>
      <c r="B52" s="319"/>
      <c r="C52" s="319"/>
      <c r="D52" s="320"/>
      <c r="E52" s="360"/>
      <c r="F52" s="361"/>
      <c r="G52" s="361"/>
      <c r="H52" s="361"/>
      <c r="I52" s="362"/>
      <c r="J52" s="76" t="str">
        <f ca="1">IF(AND('Mapa final'!$AB$47="Muy Baja",'Mapa final'!$AD$47="Leve"),CONCATENATE("R7C",'Mapa final'!$R$47),"")</f>
        <v/>
      </c>
      <c r="K52" s="77" t="str">
        <f>IF(AND('Mapa final'!$AB$48="Muy Baja",'Mapa final'!$AD$48="Leve"),CONCATENATE("R7C",'Mapa final'!$R$48),"")</f>
        <v/>
      </c>
      <c r="L52" s="77" t="str">
        <f>IF(AND('Mapa final'!$AB$49="Muy Baja",'Mapa final'!$AD$49="Leve"),CONCATENATE("R7C",'Mapa final'!$R$49),"")</f>
        <v/>
      </c>
      <c r="M52" s="77" t="str">
        <f>IF(AND('Mapa final'!$AB$50="Muy Baja",'Mapa final'!$AD$50="Leve"),CONCATENATE("R7C",'Mapa final'!$R$50),"")</f>
        <v/>
      </c>
      <c r="N52" s="77" t="str">
        <f>IF(AND('Mapa final'!$AB$51="Muy Baja",'Mapa final'!$AD$51="Leve"),CONCATENATE("R7C",'Mapa final'!$R$51),"")</f>
        <v/>
      </c>
      <c r="O52" s="78" t="str">
        <f>IF(AND('Mapa final'!$AB$52="Muy Baja",'Mapa final'!$AD$52="Leve"),CONCATENATE("R7C",'Mapa final'!$R$52),"")</f>
        <v/>
      </c>
      <c r="P52" s="76" t="str">
        <f ca="1">IF(AND('Mapa final'!$AB$47="Muy Baja",'Mapa final'!$AD$47="Menor"),CONCATENATE("R7C",'Mapa final'!$R$47),"")</f>
        <v/>
      </c>
      <c r="Q52" s="77" t="str">
        <f>IF(AND('Mapa final'!$AB$48="Muy Baja",'Mapa final'!$AD$48="Menor"),CONCATENATE("R7C",'Mapa final'!$R$48),"")</f>
        <v/>
      </c>
      <c r="R52" s="77" t="str">
        <f>IF(AND('Mapa final'!$AB$49="Muy Baja",'Mapa final'!$AD$49="Menor"),CONCATENATE("R7C",'Mapa final'!$R$49),"")</f>
        <v/>
      </c>
      <c r="S52" s="77" t="str">
        <f>IF(AND('Mapa final'!$AB$50="Muy Baja",'Mapa final'!$AD$50="Menor"),CONCATENATE("R7C",'Mapa final'!$R$50),"")</f>
        <v/>
      </c>
      <c r="T52" s="77" t="str">
        <f>IF(AND('Mapa final'!$AB$51="Muy Baja",'Mapa final'!$AD$51="Menor"),CONCATENATE("R7C",'Mapa final'!$R$51),"")</f>
        <v/>
      </c>
      <c r="U52" s="78" t="str">
        <f>IF(AND('Mapa final'!$AB$52="Muy Baja",'Mapa final'!$AD$52="Menor"),CONCATENATE("R7C",'Mapa final'!$R$52),"")</f>
        <v/>
      </c>
      <c r="V52" s="67" t="str">
        <f ca="1">IF(AND('Mapa final'!$AB$47="Muy Baja",'Mapa final'!$AD$47="Moderado"),CONCATENATE("R7C",'Mapa final'!$R$47),"")</f>
        <v/>
      </c>
      <c r="W52" s="68" t="str">
        <f>IF(AND('Mapa final'!$AB$48="Muy Baja",'Mapa final'!$AD$48="Moderado"),CONCATENATE("R7C",'Mapa final'!$R$48),"")</f>
        <v/>
      </c>
      <c r="X52" s="68" t="str">
        <f>IF(AND('Mapa final'!$AB$49="Muy Baja",'Mapa final'!$AD$49="Moderado"),CONCATENATE("R7C",'Mapa final'!$R$49),"")</f>
        <v/>
      </c>
      <c r="Y52" s="68" t="str">
        <f>IF(AND('Mapa final'!$AB$50="Muy Baja",'Mapa final'!$AD$50="Moderado"),CONCATENATE("R7C",'Mapa final'!$R$50),"")</f>
        <v/>
      </c>
      <c r="Z52" s="68" t="str">
        <f>IF(AND('Mapa final'!$AB$51="Muy Baja",'Mapa final'!$AD$51="Moderado"),CONCATENATE("R7C",'Mapa final'!$R$51),"")</f>
        <v/>
      </c>
      <c r="AA52" s="69" t="str">
        <f>IF(AND('Mapa final'!$AB$52="Muy Baja",'Mapa final'!$AD$52="Moderado"),CONCATENATE("R7C",'Mapa final'!$R$52),"")</f>
        <v/>
      </c>
      <c r="AB52" s="51" t="str">
        <f ca="1">IF(AND('Mapa final'!$AB$47="Muy Baja",'Mapa final'!$AD$47="Mayor"),CONCATENATE("R7C",'Mapa final'!$R$47),"")</f>
        <v/>
      </c>
      <c r="AC52" s="52" t="str">
        <f>IF(AND('Mapa final'!$AB$48="Muy Baja",'Mapa final'!$AD$48="Mayor"),CONCATENATE("R7C",'Mapa final'!$R$48),"")</f>
        <v/>
      </c>
      <c r="AD52" s="57" t="str">
        <f>IF(AND('Mapa final'!$AB$49="Muy Baja",'Mapa final'!$AD$49="Mayor"),CONCATENATE("R7C",'Mapa final'!$R$49),"")</f>
        <v/>
      </c>
      <c r="AE52" s="57" t="str">
        <f>IF(AND('Mapa final'!$AB$50="Muy Baja",'Mapa final'!$AD$50="Mayor"),CONCATENATE("R7C",'Mapa final'!$R$50),"")</f>
        <v/>
      </c>
      <c r="AF52" s="57" t="str">
        <f>IF(AND('Mapa final'!$AB$51="Muy Baja",'Mapa final'!$AD$51="Mayor"),CONCATENATE("R7C",'Mapa final'!$R$51),"")</f>
        <v/>
      </c>
      <c r="AG52" s="53" t="str">
        <f>IF(AND('Mapa final'!$AB$52="Muy Baja",'Mapa final'!$AD$52="Mayor"),CONCATENATE("R7C",'Mapa final'!$R$52),"")</f>
        <v/>
      </c>
      <c r="AH52" s="54" t="str">
        <f ca="1">IF(AND('Mapa final'!$AB$47="Muy Baja",'Mapa final'!$AD$47="Catastrófico"),CONCATENATE("R7C",'Mapa final'!$R$47),"")</f>
        <v/>
      </c>
      <c r="AI52" s="55" t="str">
        <f>IF(AND('Mapa final'!$AB$48="Muy Baja",'Mapa final'!$AD$48="Catastrófico"),CONCATENATE("R7C",'Mapa final'!$R$48),"")</f>
        <v/>
      </c>
      <c r="AJ52" s="55" t="str">
        <f>IF(AND('Mapa final'!$AB$49="Muy Baja",'Mapa final'!$AD$49="Catastrófico"),CONCATENATE("R7C",'Mapa final'!$R$49),"")</f>
        <v/>
      </c>
      <c r="AK52" s="55" t="str">
        <f>IF(AND('Mapa final'!$AB$50="Muy Baja",'Mapa final'!$AD$50="Catastrófico"),CONCATENATE("R7C",'Mapa final'!$R$50),"")</f>
        <v/>
      </c>
      <c r="AL52" s="55" t="str">
        <f>IF(AND('Mapa final'!$AB$51="Muy Baja",'Mapa final'!$AD$51="Catastrófico"),CONCATENATE("R7C",'Mapa final'!$R$51),"")</f>
        <v/>
      </c>
      <c r="AM52" s="56" t="str">
        <f>IF(AND('Mapa final'!$AB$52="Muy Baja",'Mapa final'!$AD$52="Catastrófico"),CONCATENATE("R7C",'Mapa final'!$R$52),"")</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4.95" customHeight="1" x14ac:dyDescent="0.3">
      <c r="A53" s="83"/>
      <c r="B53" s="319"/>
      <c r="C53" s="319"/>
      <c r="D53" s="320"/>
      <c r="E53" s="360"/>
      <c r="F53" s="361"/>
      <c r="G53" s="361"/>
      <c r="H53" s="361"/>
      <c r="I53" s="362"/>
      <c r="J53" s="76" t="str">
        <f ca="1">IF(AND('Mapa final'!$AB$53="Muy Baja",'Mapa final'!$AD$53="Leve"),CONCATENATE("R8C",'Mapa final'!$R$53),"")</f>
        <v/>
      </c>
      <c r="K53" s="77" t="str">
        <f ca="1">IF(AND('Mapa final'!$AB$54="Muy Baja",'Mapa final'!$AD$54="Leve"),CONCATENATE("R8C",'Mapa final'!$R$54),"")</f>
        <v/>
      </c>
      <c r="L53" s="77" t="str">
        <f>IF(AND('Mapa final'!$AB$55="Muy Baja",'Mapa final'!$AD$55="Leve"),CONCATENATE("R8C",'Mapa final'!$R$55),"")</f>
        <v/>
      </c>
      <c r="M53" s="77" t="str">
        <f>IF(AND('Mapa final'!$AB$56="Muy Baja",'Mapa final'!$AD$56="Leve"),CONCATENATE("R8C",'Mapa final'!$R$56),"")</f>
        <v/>
      </c>
      <c r="N53" s="77" t="str">
        <f>IF(AND('Mapa final'!$AB$57="Muy Baja",'Mapa final'!$AD$57="Leve"),CONCATENATE("R8C",'Mapa final'!$R$57),"")</f>
        <v/>
      </c>
      <c r="O53" s="78" t="str">
        <f>IF(AND('Mapa final'!$AB$58="Muy Baja",'Mapa final'!$AD$58="Leve"),CONCATENATE("R8C",'Mapa final'!$R$58),"")</f>
        <v/>
      </c>
      <c r="P53" s="76" t="str">
        <f ca="1">IF(AND('Mapa final'!$AB$53="Muy Baja",'Mapa final'!$AD$53="Menor"),CONCATENATE("R8C",'Mapa final'!$R$53),"")</f>
        <v/>
      </c>
      <c r="Q53" s="77" t="str">
        <f ca="1">IF(AND('Mapa final'!$AB$54="Muy Baja",'Mapa final'!$AD$54="Menor"),CONCATENATE("R8C",'Mapa final'!$R$54),"")</f>
        <v/>
      </c>
      <c r="R53" s="77" t="str">
        <f>IF(AND('Mapa final'!$AB$55="Muy Baja",'Mapa final'!$AD$55="Menor"),CONCATENATE("R8C",'Mapa final'!$R$55),"")</f>
        <v/>
      </c>
      <c r="S53" s="77" t="str">
        <f>IF(AND('Mapa final'!$AB$56="Muy Baja",'Mapa final'!$AD$56="Menor"),CONCATENATE("R8C",'Mapa final'!$R$56),"")</f>
        <v/>
      </c>
      <c r="T53" s="77" t="str">
        <f>IF(AND('Mapa final'!$AB$57="Muy Baja",'Mapa final'!$AD$57="Menor"),CONCATENATE("R8C",'Mapa final'!$R$57),"")</f>
        <v/>
      </c>
      <c r="U53" s="78" t="str">
        <f>IF(AND('Mapa final'!$AB$58="Muy Baja",'Mapa final'!$AD$58="Menor"),CONCATENATE("R8C",'Mapa final'!$R$58),"")</f>
        <v/>
      </c>
      <c r="V53" s="67" t="str">
        <f ca="1">IF(AND('Mapa final'!$AB$53="Muy Baja",'Mapa final'!$AD$53="Moderado"),CONCATENATE("R8C",'Mapa final'!$R$53),"")</f>
        <v/>
      </c>
      <c r="W53" s="68" t="str">
        <f ca="1">IF(AND('Mapa final'!$AB$54="Muy Baja",'Mapa final'!$AD$54="Moderado"),CONCATENATE("R8C",'Mapa final'!$R$54),"")</f>
        <v/>
      </c>
      <c r="X53" s="68" t="str">
        <f>IF(AND('Mapa final'!$AB$55="Muy Baja",'Mapa final'!$AD$55="Moderado"),CONCATENATE("R8C",'Mapa final'!$R$55),"")</f>
        <v/>
      </c>
      <c r="Y53" s="68" t="str">
        <f>IF(AND('Mapa final'!$AB$56="Muy Baja",'Mapa final'!$AD$56="Moderado"),CONCATENATE("R8C",'Mapa final'!$R$56),"")</f>
        <v/>
      </c>
      <c r="Z53" s="68" t="str">
        <f>IF(AND('Mapa final'!$AB$57="Muy Baja",'Mapa final'!$AD$57="Moderado"),CONCATENATE("R8C",'Mapa final'!$R$57),"")</f>
        <v/>
      </c>
      <c r="AA53" s="69" t="str">
        <f>IF(AND('Mapa final'!$AB$58="Muy Baja",'Mapa final'!$AD$58="Moderado"),CONCATENATE("R8C",'Mapa final'!$R$58),"")</f>
        <v/>
      </c>
      <c r="AB53" s="51" t="str">
        <f ca="1">IF(AND('Mapa final'!$AB$53="Muy Baja",'Mapa final'!$AD$53="Mayor"),CONCATENATE("R8C",'Mapa final'!$R$53),"")</f>
        <v/>
      </c>
      <c r="AC53" s="52" t="str">
        <f ca="1">IF(AND('Mapa final'!$AB$54="Muy Baja",'Mapa final'!$AD$54="Mayor"),CONCATENATE("R8C",'Mapa final'!$R$54),"")</f>
        <v/>
      </c>
      <c r="AD53" s="57" t="str">
        <f>IF(AND('Mapa final'!$AB$55="Muy Baja",'Mapa final'!$AD$55="Mayor"),CONCATENATE("R8C",'Mapa final'!$R$55),"")</f>
        <v/>
      </c>
      <c r="AE53" s="57" t="str">
        <f>IF(AND('Mapa final'!$AB$56="Muy Baja",'Mapa final'!$AD$56="Mayor"),CONCATENATE("R8C",'Mapa final'!$R$56),"")</f>
        <v/>
      </c>
      <c r="AF53" s="57" t="str">
        <f>IF(AND('Mapa final'!$AB$57="Muy Baja",'Mapa final'!$AD$57="Mayor"),CONCATENATE("R8C",'Mapa final'!$R$57),"")</f>
        <v/>
      </c>
      <c r="AG53" s="53" t="str">
        <f>IF(AND('Mapa final'!$AB$58="Muy Baja",'Mapa final'!$AD$58="Mayor"),CONCATENATE("R8C",'Mapa final'!$R$58),"")</f>
        <v/>
      </c>
      <c r="AH53" s="54" t="str">
        <f ca="1">IF(AND('Mapa final'!$AB$53="Muy Baja",'Mapa final'!$AD$53="Catastrófico"),CONCATENATE("R8C",'Mapa final'!$R$53),"")</f>
        <v/>
      </c>
      <c r="AI53" s="55" t="str">
        <f ca="1">IF(AND('Mapa final'!$AB$54="Muy Baja",'Mapa final'!$AD$54="Catastrófico"),CONCATENATE("R8C",'Mapa final'!$R$54),"")</f>
        <v/>
      </c>
      <c r="AJ53" s="55" t="str">
        <f>IF(AND('Mapa final'!$AB$55="Muy Baja",'Mapa final'!$AD$55="Catastrófico"),CONCATENATE("R8C",'Mapa final'!$R$55),"")</f>
        <v/>
      </c>
      <c r="AK53" s="55" t="str">
        <f>IF(AND('Mapa final'!$AB$56="Muy Baja",'Mapa final'!$AD$56="Catastrófico"),CONCATENATE("R8C",'Mapa final'!$R$56),"")</f>
        <v/>
      </c>
      <c r="AL53" s="55" t="str">
        <f>IF(AND('Mapa final'!$AB$57="Muy Baja",'Mapa final'!$AD$57="Catastrófico"),CONCATENATE("R8C",'Mapa final'!$R$57),"")</f>
        <v/>
      </c>
      <c r="AM53" s="56" t="str">
        <f>IF(AND('Mapa final'!$AB$58="Muy Baja",'Mapa final'!$AD$58="Catastrófico"),CONCATENATE("R8C",'Mapa final'!$R$58),"")</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4.95" customHeight="1" x14ac:dyDescent="0.3">
      <c r="A54" s="83"/>
      <c r="B54" s="319"/>
      <c r="C54" s="319"/>
      <c r="D54" s="320"/>
      <c r="E54" s="360"/>
      <c r="F54" s="361"/>
      <c r="G54" s="361"/>
      <c r="H54" s="361"/>
      <c r="I54" s="362"/>
      <c r="J54" s="76" t="str">
        <f ca="1">IF(AND('Mapa final'!$AB$59="Muy Baja",'Mapa final'!$AD$59="Leve"),CONCATENATE("R9C",'Mapa final'!$R$59),"")</f>
        <v/>
      </c>
      <c r="K54" s="77" t="str">
        <f>IF(AND('Mapa final'!$AB$60="Muy Baja",'Mapa final'!$AD$60="Leve"),CONCATENATE("R9C",'Mapa final'!$R$60),"")</f>
        <v/>
      </c>
      <c r="L54" s="77" t="str">
        <f>IF(AND('Mapa final'!$AB$61="Muy Baja",'Mapa final'!$AD$61="Leve"),CONCATENATE("R9C",'Mapa final'!$R$61),"")</f>
        <v/>
      </c>
      <c r="M54" s="77" t="str">
        <f>IF(AND('Mapa final'!$AB$62="Muy Baja",'Mapa final'!$AD$62="Leve"),CONCATENATE("R9C",'Mapa final'!$R$62),"")</f>
        <v/>
      </c>
      <c r="N54" s="77" t="str">
        <f>IF(AND('Mapa final'!$AB$63="Muy Baja",'Mapa final'!$AD$63="Leve"),CONCATENATE("R9C",'Mapa final'!$R$63),"")</f>
        <v/>
      </c>
      <c r="O54" s="78" t="str">
        <f>IF(AND('Mapa final'!$AB$64="Muy Baja",'Mapa final'!$AD$64="Leve"),CONCATENATE("R9C",'Mapa final'!$R$64),"")</f>
        <v/>
      </c>
      <c r="P54" s="76" t="str">
        <f ca="1">IF(AND('Mapa final'!$AB$59="Muy Baja",'Mapa final'!$AD$59="Menor"),CONCATENATE("R9C",'Mapa final'!$R$59),"")</f>
        <v/>
      </c>
      <c r="Q54" s="77" t="str">
        <f>IF(AND('Mapa final'!$AB$60="Muy Baja",'Mapa final'!$AD$60="Menor"),CONCATENATE("R9C",'Mapa final'!$R$60),"")</f>
        <v/>
      </c>
      <c r="R54" s="77" t="str">
        <f>IF(AND('Mapa final'!$AB$61="Muy Baja",'Mapa final'!$AD$61="Menor"),CONCATENATE("R9C",'Mapa final'!$R$61),"")</f>
        <v/>
      </c>
      <c r="S54" s="77" t="str">
        <f>IF(AND('Mapa final'!$AB$62="Muy Baja",'Mapa final'!$AD$62="Menor"),CONCATENATE("R9C",'Mapa final'!$R$62),"")</f>
        <v/>
      </c>
      <c r="T54" s="77" t="str">
        <f>IF(AND('Mapa final'!$AB$63="Muy Baja",'Mapa final'!$AD$63="Menor"),CONCATENATE("R9C",'Mapa final'!$R$63),"")</f>
        <v/>
      </c>
      <c r="U54" s="78" t="str">
        <f>IF(AND('Mapa final'!$AB$64="Muy Baja",'Mapa final'!$AD$64="Menor"),CONCATENATE("R9C",'Mapa final'!$R$64),"")</f>
        <v/>
      </c>
      <c r="V54" s="67" t="str">
        <f ca="1">IF(AND('Mapa final'!$AB$59="Muy Baja",'Mapa final'!$AD$59="Moderado"),CONCATENATE("R9C",'Mapa final'!$R$59),"")</f>
        <v/>
      </c>
      <c r="W54" s="68" t="str">
        <f>IF(AND('Mapa final'!$AB$60="Muy Baja",'Mapa final'!$AD$60="Moderado"),CONCATENATE("R9C",'Mapa final'!$R$60),"")</f>
        <v/>
      </c>
      <c r="X54" s="68" t="str">
        <f>IF(AND('Mapa final'!$AB$61="Muy Baja",'Mapa final'!$AD$61="Moderado"),CONCATENATE("R9C",'Mapa final'!$R$61),"")</f>
        <v/>
      </c>
      <c r="Y54" s="68" t="str">
        <f>IF(AND('Mapa final'!$AB$62="Muy Baja",'Mapa final'!$AD$62="Moderado"),CONCATENATE("R9C",'Mapa final'!$R$62),"")</f>
        <v/>
      </c>
      <c r="Z54" s="68" t="str">
        <f>IF(AND('Mapa final'!$AB$63="Muy Baja",'Mapa final'!$AD$63="Moderado"),CONCATENATE("R9C",'Mapa final'!$R$63),"")</f>
        <v/>
      </c>
      <c r="AA54" s="69" t="str">
        <f>IF(AND('Mapa final'!$AB$64="Muy Baja",'Mapa final'!$AD$64="Moderado"),CONCATENATE("R9C",'Mapa final'!$R$64),"")</f>
        <v/>
      </c>
      <c r="AB54" s="51" t="str">
        <f ca="1">IF(AND('Mapa final'!$AB$59="Muy Baja",'Mapa final'!$AD$59="Mayor"),CONCATENATE("R9C",'Mapa final'!$R$59),"")</f>
        <v/>
      </c>
      <c r="AC54" s="52" t="str">
        <f>IF(AND('Mapa final'!$AB$60="Muy Baja",'Mapa final'!$AD$60="Mayor"),CONCATENATE("R9C",'Mapa final'!$R$60),"")</f>
        <v/>
      </c>
      <c r="AD54" s="57" t="str">
        <f>IF(AND('Mapa final'!$AB$61="Muy Baja",'Mapa final'!$AD$61="Mayor"),CONCATENATE("R9C",'Mapa final'!$R$61),"")</f>
        <v/>
      </c>
      <c r="AE54" s="57" t="str">
        <f>IF(AND('Mapa final'!$AB$62="Muy Baja",'Mapa final'!$AD$62="Mayor"),CONCATENATE("R9C",'Mapa final'!$R$62),"")</f>
        <v/>
      </c>
      <c r="AF54" s="57" t="str">
        <f>IF(AND('Mapa final'!$AB$63="Muy Baja",'Mapa final'!$AD$63="Mayor"),CONCATENATE("R9C",'Mapa final'!$R$63),"")</f>
        <v/>
      </c>
      <c r="AG54" s="53" t="str">
        <f>IF(AND('Mapa final'!$AB$64="Muy Baja",'Mapa final'!$AD$64="Mayor"),CONCATENATE("R9C",'Mapa final'!$R$64),"")</f>
        <v/>
      </c>
      <c r="AH54" s="54" t="str">
        <f ca="1">IF(AND('Mapa final'!$AB$59="Muy Baja",'Mapa final'!$AD$59="Catastrófico"),CONCATENATE("R9C",'Mapa final'!$R$59),"")</f>
        <v/>
      </c>
      <c r="AI54" s="55" t="str">
        <f>IF(AND('Mapa final'!$AB$60="Muy Baja",'Mapa final'!$AD$60="Catastrófico"),CONCATENATE("R9C",'Mapa final'!$R$60),"")</f>
        <v/>
      </c>
      <c r="AJ54" s="55" t="str">
        <f>IF(AND('Mapa final'!$AB$61="Muy Baja",'Mapa final'!$AD$61="Catastrófico"),CONCATENATE("R9C",'Mapa final'!$R$61),"")</f>
        <v/>
      </c>
      <c r="AK54" s="55" t="str">
        <f>IF(AND('Mapa final'!$AB$62="Muy Baja",'Mapa final'!$AD$62="Catastrófico"),CONCATENATE("R9C",'Mapa final'!$R$62),"")</f>
        <v/>
      </c>
      <c r="AL54" s="55" t="str">
        <f>IF(AND('Mapa final'!$AB$63="Muy Baja",'Mapa final'!$AD$63="Catastrófico"),CONCATENATE("R9C",'Mapa final'!$R$63),"")</f>
        <v/>
      </c>
      <c r="AM54" s="56" t="str">
        <f>IF(AND('Mapa final'!$AB$64="Muy Baja",'Mapa final'!$AD$64="Catastrófico"),CONCATENATE("R9C",'Mapa final'!$R$64),"")</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8" customHeight="1" thickBot="1" x14ac:dyDescent="0.35">
      <c r="A55" s="83"/>
      <c r="B55" s="319"/>
      <c r="C55" s="319"/>
      <c r="D55" s="320"/>
      <c r="E55" s="363"/>
      <c r="F55" s="364"/>
      <c r="G55" s="364"/>
      <c r="H55" s="364"/>
      <c r="I55" s="365"/>
      <c r="J55" s="79" t="str">
        <f>IF(AND('Mapa final'!$AB$65="Muy Baja",'Mapa final'!$AD$65="Leve"),CONCATENATE("R10C",'Mapa final'!$R$65),"")</f>
        <v/>
      </c>
      <c r="K55" s="80" t="str">
        <f>IF(AND('Mapa final'!$AB$66="Muy Baja",'Mapa final'!$AD$66="Leve"),CONCATENATE("R10C",'Mapa final'!$R$66),"")</f>
        <v/>
      </c>
      <c r="L55" s="80" t="str">
        <f>IF(AND('Mapa final'!$AB$67="Muy Baja",'Mapa final'!$AD$67="Leve"),CONCATENATE("R10C",'Mapa final'!$R$67),"")</f>
        <v/>
      </c>
      <c r="M55" s="80" t="str">
        <f>IF(AND('Mapa final'!$AB$68="Muy Baja",'Mapa final'!$AD$68="Leve"),CONCATENATE("R10C",'Mapa final'!$R$68),"")</f>
        <v/>
      </c>
      <c r="N55" s="80" t="str">
        <f>IF(AND('Mapa final'!$AB$69="Muy Baja",'Mapa final'!$AD$69="Leve"),CONCATENATE("R10C",'Mapa final'!$R$69),"")</f>
        <v/>
      </c>
      <c r="O55" s="81" t="str">
        <f>IF(AND('Mapa final'!$AB$70="Muy Baja",'Mapa final'!$AD$70="Leve"),CONCATENATE("R10C",'Mapa final'!$R$70),"")</f>
        <v/>
      </c>
      <c r="P55" s="79" t="str">
        <f>IF(AND('Mapa final'!$AB$65="Muy Baja",'Mapa final'!$AD$65="Menor"),CONCATENATE("R10C",'Mapa final'!$R$65),"")</f>
        <v/>
      </c>
      <c r="Q55" s="80" t="str">
        <f>IF(AND('Mapa final'!$AB$66="Muy Baja",'Mapa final'!$AD$66="Menor"),CONCATENATE("R10C",'Mapa final'!$R$66),"")</f>
        <v/>
      </c>
      <c r="R55" s="80" t="str">
        <f>IF(AND('Mapa final'!$AB$67="Muy Baja",'Mapa final'!$AD$67="Menor"),CONCATENATE("R10C",'Mapa final'!$R$67),"")</f>
        <v/>
      </c>
      <c r="S55" s="80" t="str">
        <f>IF(AND('Mapa final'!$AB$68="Muy Baja",'Mapa final'!$AD$68="Menor"),CONCATENATE("R10C",'Mapa final'!$R$68),"")</f>
        <v/>
      </c>
      <c r="T55" s="80" t="str">
        <f>IF(AND('Mapa final'!$AB$69="Muy Baja",'Mapa final'!$AD$69="Menor"),CONCATENATE("R10C",'Mapa final'!$R$69),"")</f>
        <v/>
      </c>
      <c r="U55" s="81" t="str">
        <f>IF(AND('Mapa final'!$AB$70="Muy Baja",'Mapa final'!$AD$70="Menor"),CONCATENATE("R10C",'Mapa final'!$R$70),"")</f>
        <v/>
      </c>
      <c r="V55" s="70" t="str">
        <f>IF(AND('Mapa final'!$AB$65="Muy Baja",'Mapa final'!$AD$65="Moderado"),CONCATENATE("R10C",'Mapa final'!$R$65),"")</f>
        <v/>
      </c>
      <c r="W55" s="71" t="str">
        <f>IF(AND('Mapa final'!$AB$66="Muy Baja",'Mapa final'!$AD$66="Moderado"),CONCATENATE("R10C",'Mapa final'!$R$66),"")</f>
        <v/>
      </c>
      <c r="X55" s="71" t="str">
        <f>IF(AND('Mapa final'!$AB$67="Muy Baja",'Mapa final'!$AD$67="Moderado"),CONCATENATE("R10C",'Mapa final'!$R$67),"")</f>
        <v/>
      </c>
      <c r="Y55" s="71" t="str">
        <f>IF(AND('Mapa final'!$AB$68="Muy Baja",'Mapa final'!$AD$68="Moderado"),CONCATENATE("R10C",'Mapa final'!$R$68),"")</f>
        <v/>
      </c>
      <c r="Z55" s="71" t="str">
        <f>IF(AND('Mapa final'!$AB$69="Muy Baja",'Mapa final'!$AD$69="Moderado"),CONCATENATE("R10C",'Mapa final'!$R$69),"")</f>
        <v/>
      </c>
      <c r="AA55" s="72" t="str">
        <f>IF(AND('Mapa final'!$AB$70="Muy Baja",'Mapa final'!$AD$70="Moderado"),CONCATENATE("R10C",'Mapa final'!$R$70),"")</f>
        <v/>
      </c>
      <c r="AB55" s="58" t="str">
        <f>IF(AND('Mapa final'!$AB$65="Muy Baja",'Mapa final'!$AD$65="Mayor"),CONCATENATE("R10C",'Mapa final'!$R$65),"")</f>
        <v/>
      </c>
      <c r="AC55" s="59" t="str">
        <f>IF(AND('Mapa final'!$AB$66="Muy Baja",'Mapa final'!$AD$66="Mayor"),CONCATENATE("R10C",'Mapa final'!$R$66),"")</f>
        <v/>
      </c>
      <c r="AD55" s="59" t="str">
        <f>IF(AND('Mapa final'!$AB$67="Muy Baja",'Mapa final'!$AD$67="Mayor"),CONCATENATE("R10C",'Mapa final'!$R$67),"")</f>
        <v/>
      </c>
      <c r="AE55" s="59" t="str">
        <f>IF(AND('Mapa final'!$AB$68="Muy Baja",'Mapa final'!$AD$68="Mayor"),CONCATENATE("R10C",'Mapa final'!$R$68),"")</f>
        <v/>
      </c>
      <c r="AF55" s="59" t="str">
        <f>IF(AND('Mapa final'!$AB$69="Muy Baja",'Mapa final'!$AD$69="Mayor"),CONCATENATE("R10C",'Mapa final'!$R$69),"")</f>
        <v/>
      </c>
      <c r="AG55" s="60" t="str">
        <f>IF(AND('Mapa final'!$AB$70="Muy Baja",'Mapa final'!$AD$70="Mayor"),CONCATENATE("R10C",'Mapa final'!$R$70),"")</f>
        <v/>
      </c>
      <c r="AH55" s="61" t="str">
        <f>IF(AND('Mapa final'!$AB$65="Muy Baja",'Mapa final'!$AD$65="Catastrófico"),CONCATENATE("R10C",'Mapa final'!$R$65),"")</f>
        <v/>
      </c>
      <c r="AI55" s="62" t="str">
        <f>IF(AND('Mapa final'!$AB$66="Muy Baja",'Mapa final'!$AD$66="Catastrófico"),CONCATENATE("R10C",'Mapa final'!$R$66),"")</f>
        <v/>
      </c>
      <c r="AJ55" s="62" t="str">
        <f>IF(AND('Mapa final'!$AB$67="Muy Baja",'Mapa final'!$AD$67="Catastrófico"),CONCATENATE("R10C",'Mapa final'!$R$67),"")</f>
        <v/>
      </c>
      <c r="AK55" s="62" t="str">
        <f>IF(AND('Mapa final'!$AB$68="Muy Baja",'Mapa final'!$AD$68="Catastrófico"),CONCATENATE("R10C",'Mapa final'!$R$68),"")</f>
        <v/>
      </c>
      <c r="AL55" s="62" t="str">
        <f>IF(AND('Mapa final'!$AB$69="Muy Baja",'Mapa final'!$AD$69="Catastrófico"),CONCATENATE("R10C",'Mapa final'!$R$69),"")</f>
        <v/>
      </c>
      <c r="AM55" s="63" t="str">
        <f>IF(AND('Mapa final'!$AB$70="Muy Baja",'Mapa final'!$AD$70="Catastrófico"),CONCATENATE("R10C",'Mapa final'!$R$70),"")</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57" t="s">
        <v>104</v>
      </c>
      <c r="K56" s="358"/>
      <c r="L56" s="358"/>
      <c r="M56" s="358"/>
      <c r="N56" s="358"/>
      <c r="O56" s="359"/>
      <c r="P56" s="357" t="s">
        <v>103</v>
      </c>
      <c r="Q56" s="358"/>
      <c r="R56" s="358"/>
      <c r="S56" s="358"/>
      <c r="T56" s="358"/>
      <c r="U56" s="359"/>
      <c r="V56" s="357" t="s">
        <v>102</v>
      </c>
      <c r="W56" s="358"/>
      <c r="X56" s="358"/>
      <c r="Y56" s="358"/>
      <c r="Z56" s="358"/>
      <c r="AA56" s="359"/>
      <c r="AB56" s="357" t="s">
        <v>101</v>
      </c>
      <c r="AC56" s="366"/>
      <c r="AD56" s="358"/>
      <c r="AE56" s="358"/>
      <c r="AF56" s="358"/>
      <c r="AG56" s="359"/>
      <c r="AH56" s="357" t="s">
        <v>100</v>
      </c>
      <c r="AI56" s="358"/>
      <c r="AJ56" s="358"/>
      <c r="AK56" s="358"/>
      <c r="AL56" s="358"/>
      <c r="AM56" s="35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60"/>
      <c r="K57" s="361"/>
      <c r="L57" s="361"/>
      <c r="M57" s="361"/>
      <c r="N57" s="361"/>
      <c r="O57" s="362"/>
      <c r="P57" s="360"/>
      <c r="Q57" s="361"/>
      <c r="R57" s="361"/>
      <c r="S57" s="361"/>
      <c r="T57" s="361"/>
      <c r="U57" s="362"/>
      <c r="V57" s="360"/>
      <c r="W57" s="361"/>
      <c r="X57" s="361"/>
      <c r="Y57" s="361"/>
      <c r="Z57" s="361"/>
      <c r="AA57" s="362"/>
      <c r="AB57" s="360"/>
      <c r="AC57" s="361"/>
      <c r="AD57" s="361"/>
      <c r="AE57" s="361"/>
      <c r="AF57" s="361"/>
      <c r="AG57" s="362"/>
      <c r="AH57" s="360"/>
      <c r="AI57" s="361"/>
      <c r="AJ57" s="361"/>
      <c r="AK57" s="361"/>
      <c r="AL57" s="361"/>
      <c r="AM57" s="36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60"/>
      <c r="K58" s="361"/>
      <c r="L58" s="361"/>
      <c r="M58" s="361"/>
      <c r="N58" s="361"/>
      <c r="O58" s="362"/>
      <c r="P58" s="360"/>
      <c r="Q58" s="361"/>
      <c r="R58" s="361"/>
      <c r="S58" s="361"/>
      <c r="T58" s="361"/>
      <c r="U58" s="362"/>
      <c r="V58" s="360"/>
      <c r="W58" s="361"/>
      <c r="X58" s="361"/>
      <c r="Y58" s="361"/>
      <c r="Z58" s="361"/>
      <c r="AA58" s="362"/>
      <c r="AB58" s="360"/>
      <c r="AC58" s="361"/>
      <c r="AD58" s="361"/>
      <c r="AE58" s="361"/>
      <c r="AF58" s="361"/>
      <c r="AG58" s="362"/>
      <c r="AH58" s="360"/>
      <c r="AI58" s="361"/>
      <c r="AJ58" s="361"/>
      <c r="AK58" s="361"/>
      <c r="AL58" s="361"/>
      <c r="AM58" s="36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60"/>
      <c r="K59" s="361"/>
      <c r="L59" s="361"/>
      <c r="M59" s="361"/>
      <c r="N59" s="361"/>
      <c r="O59" s="362"/>
      <c r="P59" s="360"/>
      <c r="Q59" s="361"/>
      <c r="R59" s="361"/>
      <c r="S59" s="361"/>
      <c r="T59" s="361"/>
      <c r="U59" s="362"/>
      <c r="V59" s="360"/>
      <c r="W59" s="361"/>
      <c r="X59" s="361"/>
      <c r="Y59" s="361"/>
      <c r="Z59" s="361"/>
      <c r="AA59" s="362"/>
      <c r="AB59" s="360"/>
      <c r="AC59" s="361"/>
      <c r="AD59" s="361"/>
      <c r="AE59" s="361"/>
      <c r="AF59" s="361"/>
      <c r="AG59" s="362"/>
      <c r="AH59" s="360"/>
      <c r="AI59" s="361"/>
      <c r="AJ59" s="361"/>
      <c r="AK59" s="361"/>
      <c r="AL59" s="361"/>
      <c r="AM59" s="36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60"/>
      <c r="K60" s="361"/>
      <c r="L60" s="361"/>
      <c r="M60" s="361"/>
      <c r="N60" s="361"/>
      <c r="O60" s="362"/>
      <c r="P60" s="360"/>
      <c r="Q60" s="361"/>
      <c r="R60" s="361"/>
      <c r="S60" s="361"/>
      <c r="T60" s="361"/>
      <c r="U60" s="362"/>
      <c r="V60" s="360"/>
      <c r="W60" s="361"/>
      <c r="X60" s="361"/>
      <c r="Y60" s="361"/>
      <c r="Z60" s="361"/>
      <c r="AA60" s="362"/>
      <c r="AB60" s="360"/>
      <c r="AC60" s="361"/>
      <c r="AD60" s="361"/>
      <c r="AE60" s="361"/>
      <c r="AF60" s="361"/>
      <c r="AG60" s="362"/>
      <c r="AH60" s="360"/>
      <c r="AI60" s="361"/>
      <c r="AJ60" s="361"/>
      <c r="AK60" s="361"/>
      <c r="AL60" s="361"/>
      <c r="AM60" s="362"/>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4.95" thickBot="1" x14ac:dyDescent="0.3">
      <c r="A61" s="83"/>
      <c r="B61" s="83"/>
      <c r="C61" s="83"/>
      <c r="D61" s="83"/>
      <c r="E61" s="83"/>
      <c r="F61" s="83"/>
      <c r="G61" s="83"/>
      <c r="H61" s="83"/>
      <c r="I61" s="83"/>
      <c r="J61" s="363"/>
      <c r="K61" s="364"/>
      <c r="L61" s="364"/>
      <c r="M61" s="364"/>
      <c r="N61" s="364"/>
      <c r="O61" s="365"/>
      <c r="P61" s="363"/>
      <c r="Q61" s="364"/>
      <c r="R61" s="364"/>
      <c r="S61" s="364"/>
      <c r="T61" s="364"/>
      <c r="U61" s="365"/>
      <c r="V61" s="363"/>
      <c r="W61" s="364"/>
      <c r="X61" s="364"/>
      <c r="Y61" s="364"/>
      <c r="Z61" s="364"/>
      <c r="AA61" s="365"/>
      <c r="AB61" s="363"/>
      <c r="AC61" s="364"/>
      <c r="AD61" s="364"/>
      <c r="AE61" s="364"/>
      <c r="AF61" s="364"/>
      <c r="AG61" s="365"/>
      <c r="AH61" s="363"/>
      <c r="AI61" s="364"/>
      <c r="AJ61" s="364"/>
      <c r="AK61" s="364"/>
      <c r="AL61" s="364"/>
      <c r="AM61" s="365"/>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4.9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4.9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B8" sqref="B8"/>
    </sheetView>
  </sheetViews>
  <sheetFormatPr baseColWidth="10" defaultRowHeight="14.3" x14ac:dyDescent="0.25"/>
  <cols>
    <col min="2" max="2" width="24.125" customWidth="1"/>
    <col min="3" max="3" width="70.125" customWidth="1"/>
    <col min="4" max="4" width="29.875" customWidth="1"/>
  </cols>
  <sheetData>
    <row r="1" spans="1:37" ht="23.1" x14ac:dyDescent="0.25">
      <c r="A1" s="83"/>
      <c r="B1" s="407" t="s">
        <v>53</v>
      </c>
      <c r="C1" s="407"/>
      <c r="D1" s="407"/>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4.45" x14ac:dyDescent="0.25">
      <c r="A3" s="83"/>
      <c r="B3" s="10"/>
      <c r="C3" s="11" t="s">
        <v>50</v>
      </c>
      <c r="D3" s="11" t="s">
        <v>3</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48.9" x14ac:dyDescent="0.25">
      <c r="A4" s="83"/>
      <c r="B4" s="12" t="s">
        <v>49</v>
      </c>
      <c r="C4" s="13" t="s">
        <v>205</v>
      </c>
      <c r="D4" s="14">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48.9" x14ac:dyDescent="0.25">
      <c r="A5" s="83"/>
      <c r="B5" s="15" t="s">
        <v>51</v>
      </c>
      <c r="C5" s="16" t="s">
        <v>206</v>
      </c>
      <c r="D5" s="17">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48.9" x14ac:dyDescent="0.25">
      <c r="A6" s="83"/>
      <c r="B6" s="18" t="s">
        <v>99</v>
      </c>
      <c r="C6" s="16" t="s">
        <v>207</v>
      </c>
      <c r="D6" s="17">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3.400000000000006" x14ac:dyDescent="0.25">
      <c r="A7" s="83"/>
      <c r="B7" s="19" t="s">
        <v>5</v>
      </c>
      <c r="C7" s="16" t="s">
        <v>208</v>
      </c>
      <c r="D7" s="17">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48.9" x14ac:dyDescent="0.25">
      <c r="A8" s="83"/>
      <c r="B8" s="20" t="s">
        <v>52</v>
      </c>
      <c r="C8" s="16" t="s">
        <v>209</v>
      </c>
      <c r="D8" s="17">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8"/>
  <sheetViews>
    <sheetView zoomScale="60" zoomScaleNormal="60" workbookViewId="0">
      <selection activeCell="A210" sqref="A210"/>
    </sheetView>
  </sheetViews>
  <sheetFormatPr baseColWidth="10" defaultRowHeight="14.3" x14ac:dyDescent="0.25"/>
  <cols>
    <col min="2" max="2" width="40.5" customWidth="1"/>
    <col min="3" max="3" width="74.875" customWidth="1"/>
    <col min="4" max="4" width="126.375" bestFit="1" customWidth="1"/>
    <col min="5" max="5" width="12.5" bestFit="1" customWidth="1"/>
    <col min="6" max="6" width="144.75" bestFit="1" customWidth="1"/>
    <col min="7" max="7" width="47.125" bestFit="1" customWidth="1"/>
    <col min="8" max="8" width="125.125" bestFit="1" customWidth="1"/>
    <col min="9" max="9" width="146.25" bestFit="1" customWidth="1"/>
    <col min="10" max="10" width="52.125" bestFit="1" customWidth="1"/>
    <col min="11" max="11" width="147.5" bestFit="1" customWidth="1"/>
    <col min="12" max="12" width="16.5" bestFit="1" customWidth="1"/>
  </cols>
  <sheetData>
    <row r="1" spans="1:21" ht="32.6" x14ac:dyDescent="0.25">
      <c r="A1" s="83"/>
      <c r="B1" s="408" t="s">
        <v>61</v>
      </c>
      <c r="C1" s="408"/>
      <c r="D1" s="408"/>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6" x14ac:dyDescent="0.25">
      <c r="A3" s="83"/>
      <c r="B3" s="104"/>
      <c r="C3" s="35" t="s">
        <v>54</v>
      </c>
      <c r="D3" s="35" t="s">
        <v>55</v>
      </c>
      <c r="E3" s="83"/>
      <c r="F3" s="83"/>
      <c r="G3" s="83"/>
      <c r="H3" s="83"/>
      <c r="I3" s="83"/>
      <c r="J3" s="83"/>
      <c r="K3" s="83"/>
      <c r="L3" s="83"/>
      <c r="M3" s="83"/>
      <c r="N3" s="83"/>
      <c r="O3" s="83"/>
      <c r="P3" s="83"/>
      <c r="Q3" s="83"/>
      <c r="R3" s="83"/>
      <c r="S3" s="83"/>
      <c r="T3" s="83"/>
      <c r="U3" s="83"/>
    </row>
    <row r="4" spans="1:21" ht="32.6" x14ac:dyDescent="0.25">
      <c r="A4" s="103" t="s">
        <v>80</v>
      </c>
      <c r="B4" s="38" t="s">
        <v>98</v>
      </c>
      <c r="C4" s="43" t="s">
        <v>140</v>
      </c>
      <c r="D4" s="36" t="s">
        <v>94</v>
      </c>
      <c r="E4" s="83"/>
      <c r="F4" s="83"/>
      <c r="G4" s="83"/>
      <c r="H4" s="83"/>
      <c r="I4" s="83"/>
      <c r="J4" s="83"/>
      <c r="K4" s="83"/>
      <c r="L4" s="83"/>
      <c r="M4" s="83"/>
      <c r="N4" s="83"/>
      <c r="O4" s="83"/>
      <c r="P4" s="83"/>
      <c r="Q4" s="83"/>
      <c r="R4" s="83"/>
      <c r="S4" s="83"/>
      <c r="T4" s="83"/>
      <c r="U4" s="83"/>
    </row>
    <row r="5" spans="1:21" ht="97.85" x14ac:dyDescent="0.25">
      <c r="A5" s="103" t="s">
        <v>81</v>
      </c>
      <c r="B5" s="39" t="s">
        <v>57</v>
      </c>
      <c r="C5" s="44" t="s">
        <v>90</v>
      </c>
      <c r="D5" s="37" t="s">
        <v>95</v>
      </c>
      <c r="E5" s="83"/>
      <c r="F5" s="83"/>
      <c r="G5" s="83"/>
      <c r="H5" s="83"/>
      <c r="I5" s="83"/>
      <c r="J5" s="83"/>
      <c r="K5" s="83"/>
      <c r="L5" s="83"/>
      <c r="M5" s="83"/>
      <c r="N5" s="83"/>
      <c r="O5" s="83"/>
      <c r="P5" s="83"/>
      <c r="Q5" s="83"/>
      <c r="R5" s="83"/>
      <c r="S5" s="83"/>
      <c r="T5" s="83"/>
      <c r="U5" s="83"/>
    </row>
    <row r="6" spans="1:21" ht="65.25" x14ac:dyDescent="0.25">
      <c r="A6" s="103" t="s">
        <v>78</v>
      </c>
      <c r="B6" s="40" t="s">
        <v>58</v>
      </c>
      <c r="C6" s="44" t="s">
        <v>91</v>
      </c>
      <c r="D6" s="37" t="s">
        <v>97</v>
      </c>
      <c r="E6" s="83"/>
      <c r="F6" s="83"/>
      <c r="G6" s="83"/>
      <c r="H6" s="83"/>
      <c r="I6" s="83"/>
      <c r="J6" s="83"/>
      <c r="K6" s="83"/>
      <c r="L6" s="83"/>
      <c r="M6" s="83"/>
      <c r="N6" s="83"/>
      <c r="O6" s="83"/>
      <c r="P6" s="83"/>
      <c r="Q6" s="83"/>
      <c r="R6" s="83"/>
      <c r="S6" s="83"/>
      <c r="T6" s="83"/>
      <c r="U6" s="83"/>
    </row>
    <row r="7" spans="1:21" ht="97.85" x14ac:dyDescent="0.25">
      <c r="A7" s="103" t="s">
        <v>6</v>
      </c>
      <c r="B7" s="41" t="s">
        <v>59</v>
      </c>
      <c r="C7" s="44" t="s">
        <v>92</v>
      </c>
      <c r="D7" s="37" t="s">
        <v>96</v>
      </c>
      <c r="E7" s="83"/>
      <c r="F7" s="83"/>
      <c r="G7" s="83"/>
      <c r="H7" s="83"/>
      <c r="I7" s="83"/>
      <c r="J7" s="83"/>
      <c r="K7" s="83"/>
      <c r="L7" s="83"/>
      <c r="M7" s="83"/>
      <c r="N7" s="83"/>
      <c r="O7" s="83"/>
      <c r="P7" s="83"/>
      <c r="Q7" s="83"/>
      <c r="R7" s="83"/>
      <c r="S7" s="83"/>
      <c r="T7" s="83"/>
      <c r="U7" s="83"/>
    </row>
    <row r="8" spans="1:21" ht="65.25" x14ac:dyDescent="0.25">
      <c r="A8" s="103" t="s">
        <v>82</v>
      </c>
      <c r="B8" s="42" t="s">
        <v>60</v>
      </c>
      <c r="C8" s="44" t="s">
        <v>93</v>
      </c>
      <c r="D8" s="37" t="s">
        <v>110</v>
      </c>
      <c r="E8" s="83"/>
      <c r="F8" s="83"/>
      <c r="G8" s="83"/>
      <c r="H8" s="83"/>
      <c r="I8" s="83"/>
      <c r="J8" s="83"/>
      <c r="K8" s="83"/>
      <c r="L8" s="83"/>
      <c r="M8" s="83"/>
      <c r="N8" s="83"/>
      <c r="O8" s="83"/>
      <c r="P8" s="83"/>
      <c r="Q8" s="83"/>
      <c r="R8" s="83"/>
      <c r="S8" s="83"/>
      <c r="T8" s="83"/>
      <c r="U8" s="83"/>
    </row>
    <row r="9" spans="1:21" ht="21.1" x14ac:dyDescent="0.25">
      <c r="A9" s="103"/>
      <c r="B9" s="103"/>
      <c r="C9" s="105"/>
      <c r="D9" s="105"/>
      <c r="E9" s="83"/>
      <c r="F9" s="83"/>
      <c r="G9" s="83"/>
      <c r="H9" s="83"/>
      <c r="I9" s="83"/>
      <c r="J9" s="83"/>
      <c r="K9" s="83"/>
      <c r="L9" s="83"/>
      <c r="M9" s="83"/>
      <c r="N9" s="83"/>
      <c r="O9" s="83"/>
      <c r="P9" s="83"/>
      <c r="Q9" s="83"/>
      <c r="R9" s="83"/>
      <c r="S9" s="83"/>
      <c r="T9" s="83"/>
      <c r="U9" s="83"/>
    </row>
    <row r="10" spans="1:21"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88</v>
      </c>
      <c r="C11" s="103" t="s">
        <v>128</v>
      </c>
      <c r="D11" s="103" t="s">
        <v>135</v>
      </c>
      <c r="E11" s="83"/>
      <c r="F11" s="83"/>
      <c r="G11" s="83"/>
      <c r="H11" s="83"/>
      <c r="I11" s="83"/>
      <c r="J11" s="83"/>
      <c r="K11" s="83"/>
      <c r="L11" s="83"/>
      <c r="M11" s="83"/>
      <c r="N11" s="83"/>
      <c r="O11" s="83"/>
      <c r="P11" s="83"/>
      <c r="Q11" s="83"/>
      <c r="R11" s="83"/>
      <c r="S11" s="83"/>
      <c r="T11" s="83"/>
      <c r="U11" s="83"/>
    </row>
    <row r="12" spans="1:21" x14ac:dyDescent="0.25">
      <c r="A12" s="103"/>
      <c r="B12" s="103" t="s">
        <v>86</v>
      </c>
      <c r="C12" s="103" t="s">
        <v>132</v>
      </c>
      <c r="D12" s="103" t="s">
        <v>136</v>
      </c>
      <c r="E12" s="83"/>
      <c r="F12" s="83"/>
      <c r="G12" s="83"/>
      <c r="H12" s="83"/>
      <c r="I12" s="83"/>
      <c r="J12" s="83"/>
      <c r="K12" s="83"/>
      <c r="L12" s="83"/>
      <c r="M12" s="83"/>
      <c r="N12" s="83"/>
      <c r="O12" s="83"/>
      <c r="P12" s="83"/>
      <c r="Q12" s="83"/>
      <c r="R12" s="83"/>
      <c r="S12" s="83"/>
      <c r="T12" s="83"/>
      <c r="U12" s="83"/>
    </row>
    <row r="13" spans="1:21" x14ac:dyDescent="0.25">
      <c r="A13" s="103"/>
      <c r="B13" s="103"/>
      <c r="C13" s="103" t="s">
        <v>131</v>
      </c>
      <c r="D13" s="103" t="s">
        <v>137</v>
      </c>
      <c r="E13" s="83"/>
      <c r="F13" s="83"/>
      <c r="G13" s="83"/>
      <c r="H13" s="83"/>
      <c r="I13" s="83"/>
      <c r="J13" s="83"/>
      <c r="K13" s="83"/>
      <c r="L13" s="83"/>
      <c r="M13" s="83"/>
      <c r="N13" s="83"/>
      <c r="O13" s="83"/>
      <c r="P13" s="83"/>
      <c r="Q13" s="83"/>
      <c r="R13" s="83"/>
      <c r="S13" s="83"/>
      <c r="T13" s="83"/>
      <c r="U13" s="83"/>
    </row>
    <row r="14" spans="1:21" x14ac:dyDescent="0.25">
      <c r="A14" s="103"/>
      <c r="B14" s="103"/>
      <c r="C14" s="103" t="s">
        <v>133</v>
      </c>
      <c r="D14" s="103" t="s">
        <v>138</v>
      </c>
      <c r="E14" s="83"/>
      <c r="F14" s="83"/>
      <c r="G14" s="83"/>
      <c r="H14" s="83"/>
      <c r="I14" s="83"/>
      <c r="J14" s="83"/>
      <c r="K14" s="83"/>
      <c r="L14" s="83"/>
      <c r="M14" s="83"/>
      <c r="N14" s="83"/>
      <c r="O14" s="83"/>
      <c r="P14" s="83"/>
      <c r="Q14" s="83"/>
      <c r="R14" s="83"/>
      <c r="S14" s="83"/>
      <c r="T14" s="83"/>
      <c r="U14" s="83"/>
    </row>
    <row r="15" spans="1:21" x14ac:dyDescent="0.25">
      <c r="A15" s="103"/>
      <c r="B15" s="103"/>
      <c r="C15" s="103" t="s">
        <v>134</v>
      </c>
      <c r="D15" s="103" t="s">
        <v>139</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1.1" x14ac:dyDescent="0.25">
      <c r="A22" s="103"/>
      <c r="B22" s="103"/>
      <c r="C22" s="105"/>
      <c r="D22" s="105"/>
      <c r="E22" s="83"/>
      <c r="F22" s="83"/>
      <c r="G22" s="83"/>
      <c r="H22" s="83"/>
      <c r="I22" s="83"/>
      <c r="J22" s="83"/>
      <c r="K22" s="83"/>
      <c r="L22" s="83"/>
      <c r="M22" s="83"/>
      <c r="N22" s="83"/>
      <c r="O22" s="83"/>
    </row>
    <row r="23" spans="1:15" ht="21.1" x14ac:dyDescent="0.25">
      <c r="A23" s="103"/>
      <c r="B23" s="103"/>
      <c r="C23" s="105"/>
      <c r="D23" s="105"/>
      <c r="E23" s="83"/>
      <c r="F23" s="83"/>
      <c r="G23" s="83"/>
      <c r="H23" s="83"/>
      <c r="I23" s="83"/>
      <c r="J23" s="83"/>
      <c r="K23" s="83"/>
      <c r="L23" s="83"/>
      <c r="M23" s="83"/>
      <c r="N23" s="83"/>
      <c r="O23" s="83"/>
    </row>
    <row r="24" spans="1:15" ht="21.1" x14ac:dyDescent="0.25">
      <c r="A24" s="103"/>
      <c r="B24" s="103"/>
      <c r="C24" s="105"/>
      <c r="D24" s="105"/>
      <c r="E24" s="83"/>
      <c r="F24" s="83"/>
      <c r="G24" s="83"/>
      <c r="H24" s="83"/>
      <c r="I24" s="83"/>
      <c r="J24" s="83"/>
      <c r="K24" s="83"/>
      <c r="L24" s="83"/>
      <c r="M24" s="83"/>
      <c r="N24" s="83"/>
      <c r="O24" s="83"/>
    </row>
    <row r="25" spans="1:15" ht="21.1" x14ac:dyDescent="0.25">
      <c r="A25" s="103"/>
      <c r="B25" s="103"/>
      <c r="C25" s="105"/>
      <c r="D25" s="105"/>
      <c r="E25" s="83"/>
      <c r="F25" s="83"/>
      <c r="G25" s="83"/>
      <c r="H25" s="83"/>
      <c r="I25" s="83"/>
      <c r="J25" s="83"/>
      <c r="K25" s="83"/>
      <c r="L25" s="83"/>
      <c r="M25" s="83"/>
      <c r="N25" s="83"/>
      <c r="O25" s="83"/>
    </row>
    <row r="26" spans="1:15" ht="21.1" x14ac:dyDescent="0.25">
      <c r="A26" s="103"/>
      <c r="B26" s="103"/>
      <c r="C26" s="105"/>
      <c r="D26" s="105"/>
      <c r="E26" s="83"/>
      <c r="F26" s="83"/>
      <c r="G26" s="83"/>
      <c r="H26" s="83"/>
      <c r="I26" s="83"/>
      <c r="J26" s="83"/>
      <c r="K26" s="83"/>
      <c r="L26" s="83"/>
      <c r="M26" s="83"/>
      <c r="N26" s="83"/>
      <c r="O26" s="83"/>
    </row>
    <row r="27" spans="1:15" ht="21.1" x14ac:dyDescent="0.25">
      <c r="A27" s="103"/>
      <c r="B27" s="103"/>
      <c r="C27" s="105"/>
      <c r="D27" s="105"/>
      <c r="E27" s="83"/>
      <c r="F27" s="83"/>
      <c r="G27" s="83"/>
      <c r="H27" s="83"/>
      <c r="I27" s="83"/>
      <c r="J27" s="83"/>
      <c r="K27" s="83"/>
      <c r="L27" s="83"/>
      <c r="M27" s="83"/>
      <c r="N27" s="83"/>
      <c r="O27" s="83"/>
    </row>
    <row r="28" spans="1:15" ht="21.1" x14ac:dyDescent="0.25">
      <c r="A28" s="103"/>
      <c r="B28" s="103"/>
      <c r="C28" s="105"/>
      <c r="D28" s="105"/>
      <c r="E28" s="83"/>
      <c r="F28" s="83"/>
      <c r="G28" s="83"/>
      <c r="H28" s="83"/>
      <c r="I28" s="83"/>
      <c r="J28" s="83"/>
      <c r="K28" s="83"/>
      <c r="L28" s="83"/>
      <c r="M28" s="83"/>
      <c r="N28" s="83"/>
      <c r="O28" s="83"/>
    </row>
    <row r="29" spans="1:15" ht="21.1" x14ac:dyDescent="0.25">
      <c r="A29" s="103"/>
      <c r="B29" s="103"/>
      <c r="C29" s="105"/>
      <c r="D29" s="105"/>
      <c r="E29" s="83"/>
      <c r="F29" s="83"/>
      <c r="G29" s="83"/>
      <c r="H29" s="83"/>
      <c r="I29" s="83"/>
      <c r="J29" s="83"/>
      <c r="K29" s="83"/>
      <c r="L29" s="83"/>
      <c r="M29" s="83"/>
      <c r="N29" s="83"/>
      <c r="O29" s="83"/>
    </row>
    <row r="30" spans="1:15" ht="21.1" x14ac:dyDescent="0.25">
      <c r="A30" s="103"/>
      <c r="B30" s="103"/>
      <c r="C30" s="105"/>
      <c r="D30" s="105"/>
      <c r="E30" s="83"/>
      <c r="F30" s="83"/>
      <c r="G30" s="83"/>
      <c r="H30" s="83"/>
      <c r="I30" s="83"/>
      <c r="J30" s="83"/>
      <c r="K30" s="83"/>
      <c r="L30" s="83"/>
      <c r="M30" s="83"/>
      <c r="N30" s="83"/>
      <c r="O30" s="83"/>
    </row>
    <row r="31" spans="1:15" ht="21.1" x14ac:dyDescent="0.25">
      <c r="A31" s="103"/>
      <c r="B31" s="103"/>
      <c r="C31" s="105"/>
      <c r="D31" s="105"/>
      <c r="E31" s="83"/>
      <c r="F31" s="83"/>
      <c r="G31" s="83"/>
      <c r="H31" s="83"/>
      <c r="I31" s="83"/>
      <c r="J31" s="83"/>
      <c r="K31" s="83"/>
      <c r="L31" s="83"/>
      <c r="M31" s="83"/>
      <c r="N31" s="83"/>
      <c r="O31" s="83"/>
    </row>
    <row r="32" spans="1:15" ht="21.1" x14ac:dyDescent="0.25">
      <c r="A32" s="103"/>
      <c r="B32" s="103"/>
      <c r="C32" s="105"/>
      <c r="D32" s="105"/>
      <c r="E32" s="83"/>
      <c r="F32" s="83"/>
      <c r="G32" s="83"/>
      <c r="H32" s="83"/>
      <c r="I32" s="83"/>
      <c r="J32" s="83"/>
      <c r="K32" s="83"/>
      <c r="L32" s="83"/>
      <c r="M32" s="83"/>
      <c r="N32" s="83"/>
      <c r="O32" s="83"/>
    </row>
    <row r="33" spans="1:15" ht="21.1" x14ac:dyDescent="0.25">
      <c r="A33" s="103"/>
      <c r="B33" s="103"/>
      <c r="C33" s="105"/>
      <c r="D33" s="105"/>
      <c r="E33" s="83"/>
      <c r="F33" s="83"/>
      <c r="G33" s="83"/>
      <c r="H33" s="83"/>
      <c r="I33" s="83"/>
      <c r="J33" s="83"/>
      <c r="K33" s="83"/>
      <c r="L33" s="83"/>
      <c r="M33" s="83"/>
      <c r="N33" s="83"/>
      <c r="O33" s="83"/>
    </row>
    <row r="34" spans="1:15" ht="21.1" x14ac:dyDescent="0.25">
      <c r="A34" s="103"/>
      <c r="B34" s="103"/>
      <c r="C34" s="105"/>
      <c r="D34" s="105"/>
      <c r="E34" s="83"/>
      <c r="F34" s="83"/>
      <c r="G34" s="83"/>
      <c r="H34" s="83"/>
      <c r="I34" s="83"/>
      <c r="J34" s="83"/>
      <c r="K34" s="83"/>
      <c r="L34" s="83"/>
      <c r="M34" s="83"/>
      <c r="N34" s="83"/>
      <c r="O34" s="83"/>
    </row>
    <row r="35" spans="1:15" ht="21.1" x14ac:dyDescent="0.25">
      <c r="A35" s="103"/>
      <c r="B35" s="103"/>
      <c r="C35" s="105"/>
      <c r="D35" s="105"/>
      <c r="E35" s="83"/>
      <c r="F35" s="83"/>
      <c r="G35" s="83"/>
      <c r="H35" s="83"/>
      <c r="I35" s="83"/>
      <c r="J35" s="83"/>
      <c r="K35" s="83"/>
      <c r="L35" s="83"/>
      <c r="M35" s="83"/>
      <c r="N35" s="83"/>
      <c r="O35" s="83"/>
    </row>
    <row r="36" spans="1:15" ht="21.1" x14ac:dyDescent="0.25">
      <c r="A36" s="103"/>
      <c r="B36" s="103"/>
      <c r="C36" s="105"/>
      <c r="D36" s="105"/>
      <c r="E36" s="83"/>
      <c r="F36" s="83"/>
      <c r="G36" s="83"/>
      <c r="H36" s="83"/>
      <c r="I36" s="83"/>
      <c r="J36" s="83"/>
      <c r="K36" s="83"/>
      <c r="L36" s="83"/>
      <c r="M36" s="83"/>
      <c r="N36" s="83"/>
      <c r="O36" s="83"/>
    </row>
    <row r="37" spans="1:15" ht="21.1" x14ac:dyDescent="0.25">
      <c r="A37" s="103"/>
      <c r="B37" s="103"/>
      <c r="C37" s="105"/>
      <c r="D37" s="105"/>
      <c r="E37" s="83"/>
      <c r="F37" s="83"/>
      <c r="G37" s="83"/>
      <c r="H37" s="83"/>
      <c r="I37" s="83"/>
      <c r="J37" s="83"/>
      <c r="K37" s="83"/>
      <c r="L37" s="83"/>
      <c r="M37" s="83"/>
      <c r="N37" s="83"/>
      <c r="O37" s="83"/>
    </row>
    <row r="38" spans="1:15" ht="21.1" x14ac:dyDescent="0.25">
      <c r="A38" s="103"/>
      <c r="B38" s="103"/>
      <c r="C38" s="105"/>
      <c r="D38" s="105"/>
      <c r="E38" s="83"/>
      <c r="F38" s="83"/>
      <c r="G38" s="83"/>
      <c r="H38" s="83"/>
      <c r="I38" s="83"/>
      <c r="J38" s="83"/>
      <c r="K38" s="83"/>
      <c r="L38" s="83"/>
      <c r="M38" s="83"/>
      <c r="N38" s="83"/>
      <c r="O38" s="83"/>
    </row>
    <row r="39" spans="1:15" ht="21.1" x14ac:dyDescent="0.25">
      <c r="A39" s="103"/>
      <c r="B39" s="103"/>
      <c r="C39" s="105"/>
      <c r="D39" s="105"/>
      <c r="E39" s="83"/>
      <c r="F39" s="83"/>
      <c r="G39" s="83"/>
      <c r="H39" s="83"/>
      <c r="I39" s="83"/>
      <c r="J39" s="83"/>
      <c r="K39" s="83"/>
      <c r="L39" s="83"/>
      <c r="M39" s="83"/>
      <c r="N39" s="83"/>
      <c r="O39" s="83"/>
    </row>
    <row r="40" spans="1:15" ht="21.1" x14ac:dyDescent="0.25">
      <c r="A40" s="103"/>
      <c r="B40" s="103"/>
      <c r="C40" s="105"/>
      <c r="D40" s="105"/>
      <c r="E40" s="83"/>
      <c r="F40" s="83"/>
      <c r="G40" s="83"/>
      <c r="H40" s="83"/>
      <c r="I40" s="83"/>
      <c r="J40" s="83"/>
      <c r="K40" s="83"/>
      <c r="L40" s="83"/>
      <c r="M40" s="83"/>
      <c r="N40" s="83"/>
      <c r="O40" s="83"/>
    </row>
    <row r="41" spans="1:15" ht="21.1" x14ac:dyDescent="0.25">
      <c r="A41" s="103"/>
      <c r="B41" s="103"/>
      <c r="C41" s="105"/>
      <c r="D41" s="105"/>
      <c r="E41" s="83"/>
      <c r="F41" s="83"/>
      <c r="G41" s="83"/>
      <c r="H41" s="83"/>
      <c r="I41" s="83"/>
      <c r="J41" s="83"/>
      <c r="K41" s="83"/>
      <c r="L41" s="83"/>
      <c r="M41" s="83"/>
      <c r="N41" s="83"/>
      <c r="O41" s="83"/>
    </row>
    <row r="42" spans="1:15" ht="21.1" x14ac:dyDescent="0.25">
      <c r="A42" s="103"/>
      <c r="B42" s="103"/>
      <c r="C42" s="105"/>
      <c r="D42" s="105"/>
      <c r="E42" s="83"/>
      <c r="F42" s="83"/>
      <c r="G42" s="83"/>
      <c r="H42" s="83"/>
      <c r="I42" s="83"/>
      <c r="J42" s="83"/>
      <c r="K42" s="83"/>
      <c r="L42" s="83"/>
      <c r="M42" s="83"/>
      <c r="N42" s="83"/>
      <c r="O42" s="83"/>
    </row>
    <row r="43" spans="1:15" ht="21.1" x14ac:dyDescent="0.25">
      <c r="A43" s="103"/>
      <c r="B43" s="103"/>
      <c r="C43" s="105"/>
      <c r="D43" s="105"/>
      <c r="E43" s="83"/>
      <c r="F43" s="83"/>
      <c r="G43" s="83"/>
      <c r="H43" s="83"/>
      <c r="I43" s="83"/>
      <c r="J43" s="83"/>
      <c r="K43" s="83"/>
      <c r="L43" s="83"/>
      <c r="M43" s="83"/>
      <c r="N43" s="83"/>
      <c r="O43" s="83"/>
    </row>
    <row r="44" spans="1:15" ht="21.1" x14ac:dyDescent="0.25">
      <c r="A44" s="103"/>
      <c r="B44" s="103"/>
      <c r="C44" s="105"/>
      <c r="D44" s="105"/>
      <c r="E44" s="83"/>
      <c r="F44" s="83"/>
      <c r="G44" s="83"/>
      <c r="H44" s="83"/>
      <c r="I44" s="83"/>
      <c r="J44" s="83"/>
      <c r="K44" s="83"/>
      <c r="L44" s="83"/>
      <c r="M44" s="83"/>
      <c r="N44" s="83"/>
      <c r="O44" s="83"/>
    </row>
    <row r="45" spans="1:15" ht="21.1" x14ac:dyDescent="0.25">
      <c r="A45" s="103"/>
      <c r="B45" s="103"/>
      <c r="C45" s="105"/>
      <c r="D45" s="105"/>
      <c r="E45" s="83"/>
      <c r="F45" s="83"/>
      <c r="G45" s="83"/>
      <c r="H45" s="83"/>
      <c r="I45" s="83"/>
      <c r="J45" s="83"/>
      <c r="K45" s="83"/>
      <c r="L45" s="83"/>
      <c r="M45" s="83"/>
      <c r="N45" s="83"/>
      <c r="O45" s="83"/>
    </row>
    <row r="46" spans="1:15" ht="21.1" x14ac:dyDescent="0.25">
      <c r="A46" s="103"/>
      <c r="B46" s="103"/>
      <c r="C46" s="105"/>
      <c r="D46" s="105"/>
      <c r="E46" s="83"/>
      <c r="F46" s="83"/>
      <c r="G46" s="83"/>
      <c r="H46" s="83"/>
      <c r="I46" s="83"/>
      <c r="J46" s="83"/>
      <c r="K46" s="83"/>
      <c r="L46" s="83"/>
      <c r="M46" s="83"/>
      <c r="N46" s="83"/>
      <c r="O46" s="83"/>
    </row>
    <row r="47" spans="1:15" ht="21.1" x14ac:dyDescent="0.25">
      <c r="A47" s="103"/>
      <c r="B47" s="103"/>
      <c r="C47" s="105"/>
      <c r="D47" s="105"/>
      <c r="E47" s="83"/>
      <c r="F47" s="83"/>
      <c r="G47" s="83"/>
      <c r="H47" s="83"/>
      <c r="I47" s="83"/>
      <c r="J47" s="83"/>
      <c r="K47" s="83"/>
      <c r="L47" s="83"/>
      <c r="M47" s="83"/>
      <c r="N47" s="83"/>
      <c r="O47" s="83"/>
    </row>
    <row r="48" spans="1:15" ht="21.1" x14ac:dyDescent="0.25">
      <c r="A48" s="103"/>
      <c r="B48" s="103"/>
      <c r="C48" s="105"/>
      <c r="D48" s="105"/>
      <c r="E48" s="83"/>
      <c r="F48" s="83"/>
      <c r="G48" s="83"/>
      <c r="H48" s="83"/>
      <c r="I48" s="83"/>
      <c r="J48" s="83"/>
      <c r="K48" s="83"/>
      <c r="L48" s="83"/>
      <c r="M48" s="83"/>
      <c r="N48" s="83"/>
      <c r="O48" s="83"/>
    </row>
    <row r="49" spans="1:15" ht="21.1" x14ac:dyDescent="0.25">
      <c r="A49" s="103"/>
      <c r="B49" s="103"/>
      <c r="C49" s="105"/>
      <c r="D49" s="105"/>
      <c r="E49" s="83"/>
      <c r="F49" s="83"/>
      <c r="G49" s="83"/>
      <c r="H49" s="83"/>
      <c r="I49" s="83"/>
      <c r="J49" s="83"/>
      <c r="K49" s="83"/>
      <c r="L49" s="83"/>
      <c r="M49" s="83"/>
      <c r="N49" s="83"/>
      <c r="O49" s="83"/>
    </row>
    <row r="50" spans="1:15" ht="21.1" x14ac:dyDescent="0.25">
      <c r="A50" s="103"/>
      <c r="B50" s="103"/>
      <c r="C50" s="105"/>
      <c r="D50" s="105"/>
      <c r="E50" s="83"/>
      <c r="F50" s="83"/>
      <c r="G50" s="83"/>
      <c r="H50" s="83"/>
      <c r="I50" s="83"/>
      <c r="J50" s="83"/>
      <c r="K50" s="83"/>
      <c r="L50" s="83"/>
      <c r="M50" s="83"/>
      <c r="N50" s="83"/>
      <c r="O50" s="83"/>
    </row>
    <row r="51" spans="1:15" ht="21.1" x14ac:dyDescent="0.25">
      <c r="A51" s="103"/>
      <c r="B51" s="103"/>
      <c r="C51" s="105"/>
      <c r="D51" s="105"/>
      <c r="E51" s="83"/>
      <c r="F51" s="83"/>
      <c r="G51" s="83"/>
      <c r="H51" s="83"/>
      <c r="I51" s="83"/>
      <c r="J51" s="83"/>
      <c r="K51" s="83"/>
      <c r="L51" s="83"/>
      <c r="M51" s="83"/>
      <c r="N51" s="83"/>
      <c r="O51" s="83"/>
    </row>
    <row r="52" spans="1:15" ht="21.1" x14ac:dyDescent="0.25">
      <c r="A52" s="103"/>
      <c r="B52" s="22"/>
      <c r="C52" s="33"/>
      <c r="D52" s="33"/>
    </row>
    <row r="53" spans="1:15" ht="21.1" x14ac:dyDescent="0.25">
      <c r="A53" s="103"/>
      <c r="B53" s="22"/>
      <c r="C53" s="33"/>
      <c r="D53" s="33"/>
    </row>
    <row r="54" spans="1:15" ht="21.1" x14ac:dyDescent="0.25">
      <c r="A54" s="103"/>
      <c r="B54" s="22"/>
      <c r="C54" s="33"/>
      <c r="D54" s="33"/>
    </row>
    <row r="55" spans="1:15" ht="21.1" x14ac:dyDescent="0.25">
      <c r="A55" s="103"/>
      <c r="B55" s="22"/>
      <c r="C55" s="33"/>
      <c r="D55" s="33"/>
    </row>
    <row r="56" spans="1:15" ht="21.1" x14ac:dyDescent="0.25">
      <c r="A56" s="103"/>
      <c r="B56" s="22"/>
      <c r="C56" s="33"/>
      <c r="D56" s="33"/>
    </row>
    <row r="57" spans="1:15" ht="21.1" x14ac:dyDescent="0.25">
      <c r="A57" s="103"/>
      <c r="B57" s="22"/>
      <c r="C57" s="33"/>
      <c r="D57" s="33"/>
    </row>
    <row r="58" spans="1:15" ht="21.1" x14ac:dyDescent="0.25">
      <c r="A58" s="103"/>
      <c r="B58" s="22"/>
      <c r="C58" s="33"/>
      <c r="D58" s="33"/>
    </row>
    <row r="59" spans="1:15" ht="21.1" x14ac:dyDescent="0.25">
      <c r="A59" s="103"/>
      <c r="B59" s="22"/>
      <c r="C59" s="33"/>
      <c r="D59" s="33"/>
    </row>
    <row r="60" spans="1:15" ht="21.1" x14ac:dyDescent="0.25">
      <c r="A60" s="103"/>
      <c r="B60" s="22"/>
      <c r="C60" s="33"/>
      <c r="D60" s="33"/>
    </row>
    <row r="61" spans="1:15" ht="21.1" x14ac:dyDescent="0.25">
      <c r="A61" s="103"/>
      <c r="B61" s="22"/>
      <c r="C61" s="33"/>
      <c r="D61" s="33"/>
    </row>
    <row r="62" spans="1:15" ht="21.1" x14ac:dyDescent="0.25">
      <c r="A62" s="103"/>
      <c r="B62" s="22"/>
      <c r="C62" s="33"/>
      <c r="D62" s="33"/>
    </row>
    <row r="63" spans="1:15" ht="21.1" x14ac:dyDescent="0.25">
      <c r="A63" s="103"/>
      <c r="B63" s="22"/>
      <c r="C63" s="33"/>
      <c r="D63" s="33"/>
    </row>
    <row r="64" spans="1:15" ht="21.1" x14ac:dyDescent="0.25">
      <c r="A64" s="103"/>
      <c r="B64" s="22"/>
      <c r="C64" s="33"/>
      <c r="D64" s="33"/>
    </row>
    <row r="65" spans="1:4" ht="21.1" x14ac:dyDescent="0.25">
      <c r="A65" s="103"/>
      <c r="B65" s="22"/>
      <c r="C65" s="33"/>
      <c r="D65" s="33"/>
    </row>
    <row r="66" spans="1:4" ht="21.1" x14ac:dyDescent="0.25">
      <c r="A66" s="103"/>
      <c r="B66" s="22"/>
      <c r="C66" s="33"/>
      <c r="D66" s="33"/>
    </row>
    <row r="67" spans="1:4" ht="21.1" x14ac:dyDescent="0.25">
      <c r="A67" s="103"/>
      <c r="B67" s="22"/>
      <c r="C67" s="33"/>
      <c r="D67" s="33"/>
    </row>
    <row r="68" spans="1:4" ht="21.1" x14ac:dyDescent="0.25">
      <c r="A68" s="103"/>
      <c r="B68" s="22"/>
      <c r="C68" s="33"/>
      <c r="D68" s="33"/>
    </row>
    <row r="69" spans="1:4" ht="21.1" x14ac:dyDescent="0.25">
      <c r="A69" s="103"/>
      <c r="B69" s="22"/>
      <c r="C69" s="33"/>
      <c r="D69" s="33"/>
    </row>
    <row r="70" spans="1:4" ht="21.1" x14ac:dyDescent="0.25">
      <c r="A70" s="103"/>
      <c r="B70" s="22"/>
      <c r="C70" s="33"/>
      <c r="D70" s="33"/>
    </row>
    <row r="71" spans="1:4" ht="21.1" x14ac:dyDescent="0.25">
      <c r="A71" s="103"/>
      <c r="B71" s="22"/>
      <c r="C71" s="33"/>
      <c r="D71" s="33"/>
    </row>
    <row r="72" spans="1:4" ht="21.1" x14ac:dyDescent="0.25">
      <c r="A72" s="103"/>
      <c r="B72" s="22"/>
      <c r="C72" s="33"/>
      <c r="D72" s="33"/>
    </row>
    <row r="73" spans="1:4" ht="21.1" x14ac:dyDescent="0.25">
      <c r="A73" s="103"/>
      <c r="B73" s="22"/>
      <c r="C73" s="33"/>
      <c r="D73" s="33"/>
    </row>
    <row r="74" spans="1:4" ht="21.1" x14ac:dyDescent="0.25">
      <c r="A74" s="103"/>
      <c r="B74" s="22"/>
      <c r="C74" s="33"/>
      <c r="D74" s="33"/>
    </row>
    <row r="75" spans="1:4" ht="21.1" x14ac:dyDescent="0.25">
      <c r="A75" s="103"/>
      <c r="B75" s="22"/>
      <c r="C75" s="33"/>
      <c r="D75" s="33"/>
    </row>
    <row r="76" spans="1:4" ht="21.1" x14ac:dyDescent="0.25">
      <c r="A76" s="103"/>
      <c r="B76" s="22"/>
      <c r="C76" s="33"/>
      <c r="D76" s="33"/>
    </row>
    <row r="77" spans="1:4" ht="21.1" x14ac:dyDescent="0.25">
      <c r="A77" s="103"/>
      <c r="B77" s="22"/>
      <c r="C77" s="33"/>
      <c r="D77" s="33"/>
    </row>
    <row r="78" spans="1:4" ht="21.1" x14ac:dyDescent="0.25">
      <c r="A78" s="103"/>
      <c r="B78" s="22"/>
      <c r="C78" s="33"/>
      <c r="D78" s="33"/>
    </row>
    <row r="79" spans="1:4" ht="21.1" x14ac:dyDescent="0.25">
      <c r="A79" s="103"/>
      <c r="B79" s="22"/>
      <c r="C79" s="33"/>
      <c r="D79" s="33"/>
    </row>
    <row r="80" spans="1:4" ht="21.1" x14ac:dyDescent="0.25">
      <c r="A80" s="103"/>
      <c r="B80" s="22"/>
      <c r="C80" s="33"/>
      <c r="D80" s="33"/>
    </row>
    <row r="81" spans="1:4" ht="21.1" x14ac:dyDescent="0.25">
      <c r="A81" s="103"/>
      <c r="B81" s="22"/>
      <c r="C81" s="33"/>
      <c r="D81" s="33"/>
    </row>
    <row r="82" spans="1:4" ht="21.1" x14ac:dyDescent="0.25">
      <c r="A82" s="103"/>
      <c r="B82" s="22"/>
      <c r="C82" s="33"/>
      <c r="D82" s="33"/>
    </row>
    <row r="83" spans="1:4" ht="21.1" x14ac:dyDescent="0.25">
      <c r="A83" s="103"/>
      <c r="B83" s="22"/>
      <c r="C83" s="33"/>
      <c r="D83" s="33"/>
    </row>
    <row r="84" spans="1:4" ht="21.1" x14ac:dyDescent="0.25">
      <c r="A84" s="103"/>
      <c r="B84" s="22"/>
      <c r="C84" s="33"/>
      <c r="D84" s="33"/>
    </row>
    <row r="85" spans="1:4" ht="21.1" x14ac:dyDescent="0.25">
      <c r="A85" s="103"/>
      <c r="B85" s="22"/>
      <c r="C85" s="33"/>
      <c r="D85" s="33"/>
    </row>
    <row r="86" spans="1:4" ht="21.1" x14ac:dyDescent="0.25">
      <c r="A86" s="103"/>
      <c r="B86" s="22"/>
      <c r="C86" s="33"/>
      <c r="D86" s="33"/>
    </row>
    <row r="87" spans="1:4" ht="21.1" x14ac:dyDescent="0.25">
      <c r="A87" s="103"/>
      <c r="B87" s="22"/>
      <c r="C87" s="33"/>
      <c r="D87" s="33"/>
    </row>
    <row r="88" spans="1:4" ht="21.1" x14ac:dyDescent="0.25">
      <c r="A88" s="103"/>
      <c r="B88" s="22"/>
      <c r="C88" s="33"/>
      <c r="D88" s="33"/>
    </row>
    <row r="89" spans="1:4" ht="21.1" x14ac:dyDescent="0.25">
      <c r="A89" s="103"/>
      <c r="B89" s="22"/>
      <c r="C89" s="33"/>
      <c r="D89" s="33"/>
    </row>
    <row r="90" spans="1:4" ht="21.1" x14ac:dyDescent="0.25">
      <c r="A90" s="103"/>
      <c r="B90" s="22"/>
      <c r="C90" s="33"/>
      <c r="D90" s="33"/>
    </row>
    <row r="91" spans="1:4" ht="21.1" x14ac:dyDescent="0.25">
      <c r="A91" s="103"/>
      <c r="B91" s="22"/>
      <c r="C91" s="33"/>
      <c r="D91" s="33"/>
    </row>
    <row r="92" spans="1:4" ht="21.1" x14ac:dyDescent="0.25">
      <c r="A92" s="103"/>
      <c r="B92" s="22"/>
      <c r="C92" s="33"/>
      <c r="D92" s="33"/>
    </row>
    <row r="93" spans="1:4" ht="21.1" x14ac:dyDescent="0.25">
      <c r="A93" s="103"/>
      <c r="B93" s="22"/>
      <c r="C93" s="33"/>
      <c r="D93" s="33"/>
    </row>
    <row r="94" spans="1:4" ht="21.1" x14ac:dyDescent="0.25">
      <c r="A94" s="103"/>
      <c r="B94" s="22"/>
      <c r="C94" s="33"/>
      <c r="D94" s="33"/>
    </row>
    <row r="95" spans="1:4" ht="21.1" x14ac:dyDescent="0.25">
      <c r="A95" s="103"/>
      <c r="B95" s="22"/>
      <c r="C95" s="33"/>
      <c r="D95" s="33"/>
    </row>
    <row r="96" spans="1:4" ht="21.1" x14ac:dyDescent="0.25">
      <c r="A96" s="103"/>
      <c r="B96" s="22"/>
      <c r="C96" s="33"/>
      <c r="D96" s="33"/>
    </row>
    <row r="97" spans="1:4" ht="21.1" x14ac:dyDescent="0.25">
      <c r="A97" s="103"/>
      <c r="B97" s="22"/>
      <c r="C97" s="33"/>
      <c r="D97" s="33"/>
    </row>
    <row r="98" spans="1:4" ht="21.1" x14ac:dyDescent="0.25">
      <c r="A98" s="103"/>
      <c r="B98" s="22"/>
      <c r="C98" s="33"/>
      <c r="D98" s="33"/>
    </row>
    <row r="99" spans="1:4" ht="21.1" x14ac:dyDescent="0.25">
      <c r="A99" s="103"/>
      <c r="B99" s="22"/>
      <c r="C99" s="33"/>
      <c r="D99" s="33"/>
    </row>
    <row r="100" spans="1:4" ht="21.1" x14ac:dyDescent="0.25">
      <c r="A100" s="103"/>
      <c r="B100" s="22"/>
      <c r="C100" s="33"/>
      <c r="D100" s="33"/>
    </row>
    <row r="101" spans="1:4" ht="21.1" x14ac:dyDescent="0.25">
      <c r="A101" s="103"/>
      <c r="B101" s="22"/>
      <c r="C101" s="33"/>
      <c r="D101" s="33"/>
    </row>
    <row r="102" spans="1:4" ht="21.1" x14ac:dyDescent="0.25">
      <c r="A102" s="103"/>
      <c r="B102" s="22"/>
      <c r="C102" s="33"/>
      <c r="D102" s="33"/>
    </row>
    <row r="103" spans="1:4" ht="21.1" x14ac:dyDescent="0.25">
      <c r="A103" s="103"/>
      <c r="B103" s="22"/>
      <c r="C103" s="33"/>
      <c r="D103" s="33"/>
    </row>
    <row r="104" spans="1:4" ht="21.1" x14ac:dyDescent="0.25">
      <c r="A104" s="103"/>
      <c r="B104" s="22"/>
      <c r="C104" s="33"/>
      <c r="D104" s="33"/>
    </row>
    <row r="105" spans="1:4" ht="21.1" x14ac:dyDescent="0.25">
      <c r="A105" s="103"/>
      <c r="B105" s="22"/>
      <c r="C105" s="33"/>
      <c r="D105" s="33"/>
    </row>
    <row r="106" spans="1:4" ht="21.1" x14ac:dyDescent="0.25">
      <c r="A106" s="103"/>
      <c r="B106" s="22"/>
      <c r="C106" s="33"/>
      <c r="D106" s="33"/>
    </row>
    <row r="107" spans="1:4" ht="21.1" x14ac:dyDescent="0.25">
      <c r="A107" s="103"/>
      <c r="B107" s="22"/>
      <c r="C107" s="33"/>
      <c r="D107" s="33"/>
    </row>
    <row r="108" spans="1:4" ht="21.1" x14ac:dyDescent="0.25">
      <c r="A108" s="103"/>
      <c r="B108" s="22"/>
      <c r="C108" s="33"/>
      <c r="D108" s="33"/>
    </row>
    <row r="109" spans="1:4" ht="21.1" x14ac:dyDescent="0.25">
      <c r="A109" s="103"/>
      <c r="B109" s="22"/>
      <c r="C109" s="33"/>
      <c r="D109" s="33"/>
    </row>
    <row r="110" spans="1:4" ht="21.1" x14ac:dyDescent="0.25">
      <c r="A110" s="103"/>
      <c r="B110" s="22"/>
      <c r="C110" s="33"/>
      <c r="D110" s="33"/>
    </row>
    <row r="111" spans="1:4" ht="21.1" x14ac:dyDescent="0.25">
      <c r="A111" s="103"/>
      <c r="B111" s="22"/>
      <c r="C111" s="33"/>
      <c r="D111" s="33"/>
    </row>
    <row r="112" spans="1:4" ht="21.1" x14ac:dyDescent="0.25">
      <c r="A112" s="103"/>
      <c r="B112" s="22"/>
      <c r="C112" s="33"/>
      <c r="D112" s="33"/>
    </row>
    <row r="113" spans="1:4" ht="21.1" x14ac:dyDescent="0.25">
      <c r="A113" s="103"/>
      <c r="B113" s="22"/>
      <c r="C113" s="33"/>
      <c r="D113" s="33"/>
    </row>
    <row r="114" spans="1:4" ht="21.1" x14ac:dyDescent="0.25">
      <c r="A114" s="103"/>
      <c r="B114" s="22"/>
      <c r="C114" s="33"/>
      <c r="D114" s="33"/>
    </row>
    <row r="115" spans="1:4" ht="21.1" x14ac:dyDescent="0.25">
      <c r="A115" s="103"/>
      <c r="B115" s="22"/>
      <c r="C115" s="33"/>
      <c r="D115" s="33"/>
    </row>
    <row r="116" spans="1:4" ht="21.1" x14ac:dyDescent="0.25">
      <c r="A116" s="103"/>
      <c r="B116" s="22"/>
      <c r="C116" s="33"/>
      <c r="D116" s="33"/>
    </row>
    <row r="117" spans="1:4" ht="21.1" x14ac:dyDescent="0.25">
      <c r="A117" s="103"/>
      <c r="B117" s="22"/>
      <c r="C117" s="33"/>
      <c r="D117" s="33"/>
    </row>
    <row r="118" spans="1:4" ht="21.1" x14ac:dyDescent="0.25">
      <c r="A118" s="103"/>
      <c r="B118" s="22"/>
      <c r="C118" s="33"/>
      <c r="D118" s="33"/>
    </row>
    <row r="119" spans="1:4" ht="21.1" x14ac:dyDescent="0.25">
      <c r="A119" s="103"/>
      <c r="B119" s="22"/>
      <c r="C119" s="33"/>
      <c r="D119" s="33"/>
    </row>
    <row r="120" spans="1:4" ht="21.1" x14ac:dyDescent="0.25">
      <c r="A120" s="103"/>
      <c r="B120" s="22"/>
      <c r="C120" s="33"/>
      <c r="D120" s="33"/>
    </row>
    <row r="121" spans="1:4" ht="21.1" x14ac:dyDescent="0.25">
      <c r="A121" s="103"/>
      <c r="B121" s="22"/>
      <c r="C121" s="33"/>
      <c r="D121" s="33"/>
    </row>
    <row r="122" spans="1:4" ht="21.1" x14ac:dyDescent="0.25">
      <c r="A122" s="103"/>
      <c r="B122" s="22"/>
      <c r="C122" s="33"/>
      <c r="D122" s="33"/>
    </row>
    <row r="123" spans="1:4" ht="21.1" x14ac:dyDescent="0.25">
      <c r="A123" s="103"/>
      <c r="B123" s="22"/>
      <c r="C123" s="33"/>
      <c r="D123" s="33"/>
    </row>
    <row r="124" spans="1:4" ht="21.1" x14ac:dyDescent="0.25">
      <c r="A124" s="103"/>
      <c r="B124" s="22"/>
      <c r="C124" s="33"/>
      <c r="D124" s="33"/>
    </row>
    <row r="125" spans="1:4" ht="21.1" x14ac:dyDescent="0.25">
      <c r="A125" s="103"/>
      <c r="B125" s="22"/>
      <c r="C125" s="33"/>
      <c r="D125" s="33"/>
    </row>
    <row r="126" spans="1:4" ht="21.1" x14ac:dyDescent="0.25">
      <c r="A126" s="103"/>
      <c r="B126" s="22"/>
      <c r="C126" s="33"/>
      <c r="D126" s="33"/>
    </row>
    <row r="127" spans="1:4" ht="21.1" x14ac:dyDescent="0.25">
      <c r="A127" s="103"/>
      <c r="B127" s="22"/>
      <c r="C127" s="33"/>
      <c r="D127" s="33"/>
    </row>
    <row r="128" spans="1:4" ht="21.1" x14ac:dyDescent="0.25">
      <c r="A128" s="103"/>
      <c r="B128" s="22"/>
      <c r="C128" s="33"/>
      <c r="D128" s="33"/>
    </row>
    <row r="129" spans="1:4" ht="21.1" x14ac:dyDescent="0.25">
      <c r="A129" s="103"/>
      <c r="B129" s="22"/>
      <c r="C129" s="33"/>
      <c r="D129" s="33"/>
    </row>
    <row r="130" spans="1:4" ht="21.1" x14ac:dyDescent="0.25">
      <c r="A130" s="103"/>
      <c r="B130" s="22"/>
      <c r="C130" s="33"/>
      <c r="D130" s="33"/>
    </row>
    <row r="131" spans="1:4" ht="21.1" x14ac:dyDescent="0.25">
      <c r="A131" s="103"/>
      <c r="B131" s="22"/>
      <c r="C131" s="33"/>
      <c r="D131" s="33"/>
    </row>
    <row r="132" spans="1:4" ht="21.1" x14ac:dyDescent="0.25">
      <c r="A132" s="103"/>
      <c r="B132" s="22"/>
      <c r="C132" s="33"/>
      <c r="D132" s="33"/>
    </row>
    <row r="133" spans="1:4" ht="21.1" x14ac:dyDescent="0.25">
      <c r="A133" s="103"/>
      <c r="B133" s="22"/>
      <c r="C133" s="33"/>
      <c r="D133" s="33"/>
    </row>
    <row r="134" spans="1:4" ht="21.1" x14ac:dyDescent="0.25">
      <c r="A134" s="103"/>
      <c r="B134" s="22"/>
      <c r="C134" s="33"/>
      <c r="D134" s="33"/>
    </row>
    <row r="135" spans="1:4" ht="21.1" x14ac:dyDescent="0.25">
      <c r="A135" s="103"/>
      <c r="B135" s="22"/>
      <c r="C135" s="33"/>
      <c r="D135" s="33"/>
    </row>
    <row r="136" spans="1:4" ht="21.1" x14ac:dyDescent="0.25">
      <c r="A136" s="103"/>
      <c r="B136" s="22"/>
      <c r="C136" s="33"/>
      <c r="D136" s="33"/>
    </row>
    <row r="137" spans="1:4" ht="21.1" x14ac:dyDescent="0.25">
      <c r="A137" s="103"/>
      <c r="B137" s="22"/>
      <c r="C137" s="33"/>
      <c r="D137" s="33"/>
    </row>
    <row r="138" spans="1:4" ht="21.1" x14ac:dyDescent="0.25">
      <c r="A138" s="103"/>
      <c r="B138" s="22"/>
      <c r="C138" s="33"/>
      <c r="D138" s="33"/>
    </row>
    <row r="139" spans="1:4" ht="21.1" x14ac:dyDescent="0.25">
      <c r="A139" s="103"/>
      <c r="B139" s="22"/>
      <c r="C139" s="33"/>
      <c r="D139" s="33"/>
    </row>
    <row r="140" spans="1:4" ht="21.1" x14ac:dyDescent="0.25">
      <c r="A140" s="103"/>
      <c r="B140" s="22"/>
      <c r="C140" s="33"/>
      <c r="D140" s="33"/>
    </row>
    <row r="141" spans="1:4" ht="21.1" x14ac:dyDescent="0.25">
      <c r="A141" s="103"/>
      <c r="B141" s="22"/>
      <c r="C141" s="33"/>
      <c r="D141" s="33"/>
    </row>
    <row r="142" spans="1:4" ht="21.1" x14ac:dyDescent="0.25">
      <c r="A142" s="103"/>
      <c r="B142" s="22"/>
      <c r="C142" s="33"/>
      <c r="D142" s="33"/>
    </row>
    <row r="143" spans="1:4" ht="21.1" x14ac:dyDescent="0.25">
      <c r="A143" s="103"/>
      <c r="B143" s="22"/>
      <c r="C143" s="33"/>
      <c r="D143" s="33"/>
    </row>
    <row r="144" spans="1:4" ht="21.1" x14ac:dyDescent="0.25">
      <c r="A144" s="103"/>
      <c r="B144" s="22"/>
      <c r="C144" s="33"/>
      <c r="D144" s="33"/>
    </row>
    <row r="145" spans="1:4" ht="21.1" x14ac:dyDescent="0.25">
      <c r="A145" s="103"/>
      <c r="B145" s="22"/>
      <c r="C145" s="33"/>
      <c r="D145" s="33"/>
    </row>
    <row r="146" spans="1:4" ht="21.1" x14ac:dyDescent="0.25">
      <c r="A146" s="103"/>
      <c r="B146" s="22"/>
      <c r="C146" s="33"/>
      <c r="D146" s="33"/>
    </row>
    <row r="147" spans="1:4" ht="21.1" x14ac:dyDescent="0.25">
      <c r="A147" s="103"/>
      <c r="B147" s="22"/>
      <c r="C147" s="33"/>
      <c r="D147" s="33"/>
    </row>
    <row r="148" spans="1:4" ht="21.1" x14ac:dyDescent="0.25">
      <c r="A148" s="103"/>
      <c r="B148" s="22"/>
      <c r="C148" s="33"/>
      <c r="D148" s="33"/>
    </row>
    <row r="149" spans="1:4" ht="21.1" x14ac:dyDescent="0.25">
      <c r="A149" s="103"/>
      <c r="B149" s="22"/>
      <c r="C149" s="33"/>
      <c r="D149" s="33"/>
    </row>
    <row r="150" spans="1:4" ht="21.1" x14ac:dyDescent="0.25">
      <c r="A150" s="103"/>
      <c r="B150" s="22"/>
      <c r="C150" s="33"/>
      <c r="D150" s="33"/>
    </row>
    <row r="151" spans="1:4" ht="21.1" x14ac:dyDescent="0.25">
      <c r="A151" s="103"/>
      <c r="B151" s="22"/>
      <c r="C151" s="33"/>
      <c r="D151" s="33"/>
    </row>
    <row r="152" spans="1:4" ht="21.1" x14ac:dyDescent="0.25">
      <c r="A152" s="103"/>
      <c r="B152" s="22"/>
      <c r="C152" s="33"/>
      <c r="D152" s="33"/>
    </row>
    <row r="153" spans="1:4" ht="21.1" x14ac:dyDescent="0.25">
      <c r="A153" s="103"/>
      <c r="B153" s="22"/>
      <c r="C153" s="33"/>
      <c r="D153" s="33"/>
    </row>
    <row r="154" spans="1:4" ht="21.1" x14ac:dyDescent="0.25">
      <c r="A154" s="103"/>
      <c r="B154" s="22"/>
      <c r="C154" s="33"/>
      <c r="D154" s="33"/>
    </row>
    <row r="155" spans="1:4" ht="21.1" x14ac:dyDescent="0.25">
      <c r="A155" s="103"/>
      <c r="B155" s="22"/>
      <c r="C155" s="33"/>
      <c r="D155" s="33"/>
    </row>
    <row r="156" spans="1:4" ht="21.1" x14ac:dyDescent="0.25">
      <c r="A156" s="103"/>
      <c r="B156" s="22"/>
      <c r="C156" s="33"/>
      <c r="D156" s="33"/>
    </row>
    <row r="157" spans="1:4" ht="21.1" x14ac:dyDescent="0.25">
      <c r="A157" s="103"/>
      <c r="B157" s="22"/>
      <c r="C157" s="33"/>
      <c r="D157" s="33"/>
    </row>
    <row r="158" spans="1:4" ht="21.1" x14ac:dyDescent="0.25">
      <c r="A158" s="103"/>
      <c r="B158" s="22"/>
      <c r="C158" s="33"/>
      <c r="D158" s="33"/>
    </row>
    <row r="159" spans="1:4" ht="21.1" x14ac:dyDescent="0.25">
      <c r="A159" s="103"/>
      <c r="B159" s="22"/>
      <c r="C159" s="33"/>
      <c r="D159" s="33"/>
    </row>
    <row r="160" spans="1:4" ht="21.1" x14ac:dyDescent="0.25">
      <c r="A160" s="103"/>
      <c r="B160" s="22"/>
      <c r="C160" s="33"/>
      <c r="D160" s="33"/>
    </row>
    <row r="161" spans="1:4" ht="21.1" x14ac:dyDescent="0.25">
      <c r="A161" s="103"/>
      <c r="B161" s="22"/>
      <c r="C161" s="33"/>
      <c r="D161" s="33"/>
    </row>
    <row r="162" spans="1:4" ht="21.1" x14ac:dyDescent="0.25">
      <c r="A162" s="103"/>
      <c r="B162" s="22"/>
      <c r="C162" s="33"/>
      <c r="D162" s="33"/>
    </row>
    <row r="163" spans="1:4" ht="21.1" x14ac:dyDescent="0.25">
      <c r="A163" s="103"/>
      <c r="B163" s="22"/>
      <c r="C163" s="33"/>
      <c r="D163" s="33"/>
    </row>
    <row r="164" spans="1:4" ht="21.1" x14ac:dyDescent="0.25">
      <c r="A164" s="103"/>
      <c r="B164" s="22"/>
      <c r="C164" s="33"/>
      <c r="D164" s="33"/>
    </row>
    <row r="165" spans="1:4" ht="21.1" x14ac:dyDescent="0.25">
      <c r="A165" s="103"/>
      <c r="B165" s="22"/>
      <c r="C165" s="33"/>
      <c r="D165" s="33"/>
    </row>
    <row r="166" spans="1:4" ht="21.1" x14ac:dyDescent="0.25">
      <c r="A166" s="103"/>
      <c r="B166" s="22"/>
      <c r="C166" s="33"/>
      <c r="D166" s="33"/>
    </row>
    <row r="167" spans="1:4" ht="21.1" x14ac:dyDescent="0.25">
      <c r="A167" s="103"/>
      <c r="B167" s="22"/>
      <c r="C167" s="33"/>
      <c r="D167" s="33"/>
    </row>
    <row r="168" spans="1:4" ht="21.1" x14ac:dyDescent="0.25">
      <c r="A168" s="103"/>
      <c r="B168" s="22"/>
      <c r="C168" s="33"/>
      <c r="D168" s="33"/>
    </row>
    <row r="169" spans="1:4" ht="21.1" x14ac:dyDescent="0.25">
      <c r="A169" s="103"/>
      <c r="B169" s="22"/>
      <c r="C169" s="33"/>
      <c r="D169" s="33"/>
    </row>
    <row r="170" spans="1:4" ht="21.1" x14ac:dyDescent="0.25">
      <c r="A170" s="103"/>
      <c r="B170" s="22"/>
      <c r="C170" s="33"/>
      <c r="D170" s="33"/>
    </row>
    <row r="171" spans="1:4" ht="21.1" x14ac:dyDescent="0.25">
      <c r="A171" s="103"/>
      <c r="B171" s="22"/>
      <c r="C171" s="33"/>
      <c r="D171" s="33"/>
    </row>
    <row r="172" spans="1:4" ht="21.1" x14ac:dyDescent="0.25">
      <c r="A172" s="103"/>
      <c r="B172" s="22"/>
      <c r="C172" s="33"/>
      <c r="D172" s="33"/>
    </row>
    <row r="173" spans="1:4" ht="21.1" x14ac:dyDescent="0.25">
      <c r="A173" s="103"/>
      <c r="B173" s="22"/>
      <c r="C173" s="33"/>
      <c r="D173" s="33"/>
    </row>
    <row r="174" spans="1:4" ht="21.1" x14ac:dyDescent="0.25">
      <c r="A174" s="103"/>
      <c r="B174" s="22"/>
      <c r="C174" s="33"/>
      <c r="D174" s="33"/>
    </row>
    <row r="175" spans="1:4" ht="21.1" x14ac:dyDescent="0.25">
      <c r="A175" s="103"/>
      <c r="B175" s="22"/>
      <c r="C175" s="33"/>
      <c r="D175" s="33"/>
    </row>
    <row r="176" spans="1:4" ht="21.1" x14ac:dyDescent="0.25">
      <c r="A176" s="103"/>
      <c r="B176" s="22"/>
      <c r="C176" s="33"/>
      <c r="D176" s="33"/>
    </row>
    <row r="177" spans="1:4" ht="21.1" x14ac:dyDescent="0.25">
      <c r="A177" s="103"/>
      <c r="B177" s="22"/>
      <c r="C177" s="33"/>
      <c r="D177" s="33"/>
    </row>
    <row r="178" spans="1:4" ht="21.1" x14ac:dyDescent="0.25">
      <c r="A178" s="103"/>
      <c r="B178" s="22"/>
      <c r="C178" s="33"/>
      <c r="D178" s="33"/>
    </row>
    <row r="179" spans="1:4" ht="21.1" x14ac:dyDescent="0.25">
      <c r="A179" s="103"/>
      <c r="B179" s="22"/>
      <c r="C179" s="33"/>
      <c r="D179" s="33"/>
    </row>
    <row r="180" spans="1:4" ht="21.1" x14ac:dyDescent="0.25">
      <c r="A180" s="103"/>
      <c r="B180" s="22"/>
      <c r="C180" s="33"/>
      <c r="D180" s="33"/>
    </row>
    <row r="181" spans="1:4" ht="21.1" x14ac:dyDescent="0.25">
      <c r="A181" s="103"/>
      <c r="B181" s="22"/>
      <c r="C181" s="33"/>
      <c r="D181" s="33"/>
    </row>
    <row r="182" spans="1:4" ht="21.1" x14ac:dyDescent="0.25">
      <c r="A182" s="103"/>
      <c r="B182" s="22"/>
      <c r="C182" s="33"/>
      <c r="D182" s="33"/>
    </row>
    <row r="183" spans="1:4" ht="21.1" x14ac:dyDescent="0.25">
      <c r="A183" s="103"/>
      <c r="B183" s="22"/>
      <c r="C183" s="33"/>
      <c r="D183" s="33"/>
    </row>
    <row r="184" spans="1:4" ht="21.1" x14ac:dyDescent="0.25">
      <c r="A184" s="103"/>
      <c r="B184" s="22"/>
      <c r="C184" s="33"/>
      <c r="D184" s="33"/>
    </row>
    <row r="185" spans="1:4" ht="21.1" x14ac:dyDescent="0.25">
      <c r="A185" s="103"/>
      <c r="B185" s="22"/>
      <c r="C185" s="33"/>
      <c r="D185" s="33"/>
    </row>
    <row r="186" spans="1:4" ht="21.1" x14ac:dyDescent="0.25">
      <c r="A186" s="103"/>
      <c r="B186" s="22"/>
      <c r="C186" s="33"/>
      <c r="D186" s="33"/>
    </row>
    <row r="187" spans="1:4" ht="21.1" x14ac:dyDescent="0.25">
      <c r="A187" s="103"/>
      <c r="B187" s="22"/>
      <c r="C187" s="33"/>
      <c r="D187" s="33"/>
    </row>
    <row r="188" spans="1:4" ht="21.1" x14ac:dyDescent="0.25">
      <c r="A188" s="103"/>
      <c r="B188" s="22"/>
      <c r="C188" s="33"/>
      <c r="D188" s="33"/>
    </row>
    <row r="189" spans="1:4" ht="21.1" x14ac:dyDescent="0.25">
      <c r="A189" s="103"/>
      <c r="B189" s="22"/>
      <c r="C189" s="33"/>
      <c r="D189" s="33"/>
    </row>
    <row r="190" spans="1:4" ht="21.1" x14ac:dyDescent="0.25">
      <c r="A190" s="103"/>
      <c r="B190" s="22"/>
      <c r="C190" s="33"/>
      <c r="D190" s="33"/>
    </row>
    <row r="191" spans="1:4" ht="21.1" x14ac:dyDescent="0.25">
      <c r="A191" s="103"/>
      <c r="B191" s="22"/>
      <c r="C191" s="33"/>
      <c r="D191" s="33"/>
    </row>
    <row r="192" spans="1:4" ht="21.1" x14ac:dyDescent="0.25">
      <c r="A192" s="103"/>
      <c r="B192" s="22"/>
      <c r="C192" s="33"/>
      <c r="D192" s="33"/>
    </row>
    <row r="193" spans="1:4" ht="21.1" x14ac:dyDescent="0.25">
      <c r="A193" s="103"/>
      <c r="B193" s="22"/>
      <c r="C193" s="33"/>
      <c r="D193" s="33"/>
    </row>
    <row r="194" spans="1:4" ht="21.1" x14ac:dyDescent="0.25">
      <c r="A194" s="103"/>
      <c r="B194" s="22"/>
      <c r="C194" s="33"/>
      <c r="D194" s="33"/>
    </row>
    <row r="195" spans="1:4" ht="21.1" x14ac:dyDescent="0.25">
      <c r="A195" s="103"/>
      <c r="B195" s="22"/>
      <c r="C195" s="33"/>
      <c r="D195" s="33"/>
    </row>
    <row r="196" spans="1:4" ht="21.1" x14ac:dyDescent="0.25">
      <c r="A196" s="103"/>
      <c r="B196" s="22"/>
      <c r="C196" s="33"/>
      <c r="D196" s="33"/>
    </row>
    <row r="197" spans="1:4" ht="21.1" x14ac:dyDescent="0.25">
      <c r="A197" s="103"/>
      <c r="B197" s="22"/>
      <c r="C197" s="33"/>
      <c r="D197" s="33"/>
    </row>
    <row r="198" spans="1:4" ht="21.1" x14ac:dyDescent="0.25">
      <c r="A198" s="103"/>
      <c r="B198" s="22"/>
      <c r="C198" s="33"/>
      <c r="D198" s="33"/>
    </row>
    <row r="199" spans="1:4" ht="21.1" x14ac:dyDescent="0.25">
      <c r="A199" s="103"/>
      <c r="B199" s="22"/>
      <c r="C199" s="33"/>
      <c r="D199" s="33"/>
    </row>
    <row r="200" spans="1:4" ht="21.1" x14ac:dyDescent="0.25">
      <c r="A200" s="103"/>
      <c r="B200" s="22"/>
      <c r="C200" s="33"/>
      <c r="D200" s="33"/>
    </row>
    <row r="201" spans="1:4" ht="21.1" x14ac:dyDescent="0.25">
      <c r="A201" s="103"/>
      <c r="B201" s="22"/>
      <c r="C201" s="33"/>
      <c r="D201" s="33"/>
    </row>
    <row r="202" spans="1:4" ht="21.1" x14ac:dyDescent="0.25">
      <c r="A202" s="103"/>
      <c r="B202" s="22"/>
      <c r="C202" s="33"/>
      <c r="D202" s="33"/>
    </row>
    <row r="203" spans="1:4" ht="21.1" x14ac:dyDescent="0.25">
      <c r="A203" s="103"/>
      <c r="B203" s="22"/>
      <c r="C203" s="33"/>
      <c r="D203" s="33"/>
    </row>
    <row r="204" spans="1:4" ht="21.1" x14ac:dyDescent="0.25">
      <c r="A204" s="103"/>
      <c r="B204" s="22"/>
      <c r="C204" s="33"/>
      <c r="D204" s="33"/>
    </row>
    <row r="205" spans="1:4" ht="21.1" x14ac:dyDescent="0.25">
      <c r="A205" s="103"/>
      <c r="B205" s="22"/>
      <c r="C205" s="33"/>
      <c r="D205" s="33"/>
    </row>
    <row r="206" spans="1:4" ht="21.1" x14ac:dyDescent="0.25">
      <c r="A206" s="103"/>
      <c r="B206" s="22"/>
      <c r="C206" s="33"/>
      <c r="D206" s="33"/>
    </row>
    <row r="207" spans="1:4" ht="21.1" x14ac:dyDescent="0.25">
      <c r="A207" s="103"/>
      <c r="B207" s="22"/>
      <c r="C207" s="33"/>
      <c r="D207" s="33"/>
    </row>
    <row r="208" spans="1:4" x14ac:dyDescent="0.25">
      <c r="A208" s="83"/>
      <c r="B208" s="22"/>
      <c r="C208" s="22"/>
      <c r="D208" s="22"/>
    </row>
    <row r="209" spans="1:8" ht="21.1" x14ac:dyDescent="0.25">
      <c r="A209" s="83"/>
      <c r="B209" s="29" t="s">
        <v>85</v>
      </c>
      <c r="C209" s="29" t="s">
        <v>127</v>
      </c>
      <c r="D209" s="32" t="s">
        <v>85</v>
      </c>
      <c r="E209" s="32" t="s">
        <v>127</v>
      </c>
    </row>
    <row r="210" spans="1:8" ht="21.1" x14ac:dyDescent="0.35">
      <c r="A210" s="83"/>
      <c r="B210" s="30" t="s">
        <v>87</v>
      </c>
      <c r="C210" s="30" t="s">
        <v>56</v>
      </c>
      <c r="D210" t="s">
        <v>87</v>
      </c>
      <c r="F210" t="str">
        <f>IF(NOT(ISBLANK(D210)),D210,IF(NOT(ISBLANK(E210)),"     "&amp;E210,FALSE))</f>
        <v>Afectación Económica o presupuestal</v>
      </c>
      <c r="G210" t="s">
        <v>87</v>
      </c>
      <c r="H210" t="str">
        <f ca="1">IF(NOT(ISERROR(MATCH(G210,_xlfn.ANCHORARRAY(B221),0))),F223&amp;"Por favor no seleccionar los criterios de impacto",G210)</f>
        <v>Afectación Económica o presupuestal</v>
      </c>
    </row>
    <row r="211" spans="1:8" ht="21.1" x14ac:dyDescent="0.35">
      <c r="A211" s="83"/>
      <c r="B211" s="30" t="s">
        <v>87</v>
      </c>
      <c r="C211" s="30" t="s">
        <v>90</v>
      </c>
      <c r="E211" t="s">
        <v>56</v>
      </c>
      <c r="F211" t="str">
        <f t="shared" ref="F211:F221" si="0">IF(NOT(ISBLANK(D211)),D211,IF(NOT(ISBLANK(E211)),"     "&amp;E211,FALSE))</f>
        <v xml:space="preserve">     Afectación menor a 10 SMLMV .</v>
      </c>
    </row>
    <row r="212" spans="1:8" ht="21.1" x14ac:dyDescent="0.35">
      <c r="A212" s="83"/>
      <c r="B212" s="30" t="s">
        <v>87</v>
      </c>
      <c r="C212" s="30" t="s">
        <v>91</v>
      </c>
      <c r="E212" t="s">
        <v>90</v>
      </c>
      <c r="F212" t="str">
        <f t="shared" si="0"/>
        <v xml:space="preserve">     Entre 10 y 50 SMLMV </v>
      </c>
    </row>
    <row r="213" spans="1:8" ht="21.1" x14ac:dyDescent="0.35">
      <c r="A213" s="83"/>
      <c r="B213" s="30" t="s">
        <v>87</v>
      </c>
      <c r="C213" s="30" t="s">
        <v>92</v>
      </c>
      <c r="E213" t="s">
        <v>91</v>
      </c>
      <c r="F213" t="str">
        <f t="shared" si="0"/>
        <v xml:space="preserve">     Entre 50 y 100 SMLMV </v>
      </c>
    </row>
    <row r="214" spans="1:8" ht="21.1" x14ac:dyDescent="0.35">
      <c r="A214" s="83"/>
      <c r="B214" s="30" t="s">
        <v>87</v>
      </c>
      <c r="C214" s="30" t="s">
        <v>93</v>
      </c>
      <c r="E214" t="s">
        <v>92</v>
      </c>
      <c r="F214" t="str">
        <f t="shared" si="0"/>
        <v xml:space="preserve">     Entre 100 y 500 SMLMV </v>
      </c>
    </row>
    <row r="215" spans="1:8" ht="21.1" x14ac:dyDescent="0.35">
      <c r="A215" s="83"/>
      <c r="B215" s="30" t="s">
        <v>55</v>
      </c>
      <c r="C215" s="30" t="s">
        <v>94</v>
      </c>
      <c r="E215" t="s">
        <v>93</v>
      </c>
      <c r="F215" t="str">
        <f t="shared" si="0"/>
        <v xml:space="preserve">     Mayor a 500 SMLMV </v>
      </c>
    </row>
    <row r="216" spans="1:8" ht="21.1" x14ac:dyDescent="0.35">
      <c r="A216" s="83"/>
      <c r="B216" s="30" t="s">
        <v>55</v>
      </c>
      <c r="C216" s="30" t="s">
        <v>95</v>
      </c>
      <c r="D216" t="s">
        <v>55</v>
      </c>
      <c r="F216" t="str">
        <f t="shared" si="0"/>
        <v>Pérdida Reputacional</v>
      </c>
    </row>
    <row r="217" spans="1:8" ht="21.1" x14ac:dyDescent="0.35">
      <c r="A217" s="83"/>
      <c r="B217" s="30" t="s">
        <v>55</v>
      </c>
      <c r="C217" s="30" t="s">
        <v>97</v>
      </c>
      <c r="E217" t="s">
        <v>94</v>
      </c>
      <c r="F217" t="str">
        <f t="shared" si="0"/>
        <v xml:space="preserve">     El riesgo afecta la imagen de alguna área de la organización</v>
      </c>
    </row>
    <row r="218" spans="1:8" ht="21.1" x14ac:dyDescent="0.35">
      <c r="A218" s="83"/>
      <c r="B218" s="30" t="s">
        <v>55</v>
      </c>
      <c r="C218" s="30" t="s">
        <v>96</v>
      </c>
      <c r="E218" t="s">
        <v>95</v>
      </c>
      <c r="F218" t="str">
        <f t="shared" si="0"/>
        <v xml:space="preserve">     El riesgo afecta la imagen de la entidad internamente, de conocimiento general, nivel interno, de junta dircetiva y accionistas y/o de provedores</v>
      </c>
    </row>
    <row r="219" spans="1:8" ht="21.1" x14ac:dyDescent="0.35">
      <c r="A219" s="83"/>
      <c r="B219" s="30" t="s">
        <v>55</v>
      </c>
      <c r="C219" s="30" t="s">
        <v>110</v>
      </c>
      <c r="E219" t="s">
        <v>97</v>
      </c>
      <c r="F219" t="str">
        <f t="shared" si="0"/>
        <v xml:space="preserve">     El riesgo afecta la imagen de la entidad con algunos usuarios de relevancia frente al logro de los objetivos</v>
      </c>
    </row>
    <row r="220" spans="1:8" x14ac:dyDescent="0.25">
      <c r="A220" s="83"/>
      <c r="B220" s="31"/>
      <c r="C220" s="31"/>
      <c r="E220" t="s">
        <v>96</v>
      </c>
      <c r="F220" t="str">
        <f t="shared" si="0"/>
        <v xml:space="preserve">     El riesgo afecta la imagen de de la entidad con efecto publicitario sostenido a nivel de sector administrativo, nivel departamental o municipal</v>
      </c>
    </row>
    <row r="221" spans="1:8" x14ac:dyDescent="0.25">
      <c r="A221" s="83"/>
      <c r="B221" s="31" t="e">
        <f t="array" aca="1" ref="B221:B223" ca="1">_xlfn.UNIQUE(Tabla1[[#All],[Criterios]])</f>
        <v>#NAME?</v>
      </c>
      <c r="C221" s="31"/>
      <c r="E221" t="s">
        <v>110</v>
      </c>
      <c r="F221" t="str">
        <f t="shared" si="0"/>
        <v xml:space="preserve">     El riesgo afecta la imagen de la entidad a nivel nacional, con efecto publicitarios sostenible a nivel país</v>
      </c>
    </row>
    <row r="222" spans="1:8" x14ac:dyDescent="0.25">
      <c r="A222" s="83"/>
      <c r="B222" s="31" t="e">
        <f ca="1"/>
        <v>#NAME?</v>
      </c>
      <c r="C222" s="31"/>
    </row>
    <row r="223" spans="1:8" x14ac:dyDescent="0.25">
      <c r="B223" s="31" t="e">
        <f ca="1"/>
        <v>#NAME?</v>
      </c>
      <c r="C223" s="31"/>
      <c r="F223" s="34" t="s">
        <v>129</v>
      </c>
    </row>
    <row r="224" spans="1:8" x14ac:dyDescent="0.25">
      <c r="B224" s="21"/>
      <c r="C224" s="21"/>
      <c r="F224" s="34" t="s">
        <v>130</v>
      </c>
    </row>
    <row r="225" spans="2:4" x14ac:dyDescent="0.25">
      <c r="B225" s="21"/>
      <c r="C225" s="21"/>
    </row>
    <row r="226" spans="2:4" x14ac:dyDescent="0.25">
      <c r="B226" s="21"/>
      <c r="C226" s="21"/>
    </row>
    <row r="227" spans="2:4" x14ac:dyDescent="0.25">
      <c r="B227" s="21" t="s">
        <v>199</v>
      </c>
      <c r="C227" s="21"/>
      <c r="D227" s="21"/>
    </row>
    <row r="228" spans="2:4" x14ac:dyDescent="0.25">
      <c r="B228" t="s">
        <v>85</v>
      </c>
      <c r="C228" s="21" t="s">
        <v>127</v>
      </c>
      <c r="D228" s="32" t="s">
        <v>200</v>
      </c>
    </row>
    <row r="229" spans="2:4" x14ac:dyDescent="0.25">
      <c r="B229" s="147" t="s">
        <v>202</v>
      </c>
      <c r="C229" s="21" t="s">
        <v>192</v>
      </c>
      <c r="D229" s="145" t="s">
        <v>202</v>
      </c>
    </row>
    <row r="230" spans="2:4" x14ac:dyDescent="0.25">
      <c r="B230" s="147" t="s">
        <v>202</v>
      </c>
      <c r="C230" s="21" t="s">
        <v>193</v>
      </c>
      <c r="D230" s="146" t="s">
        <v>192</v>
      </c>
    </row>
    <row r="231" spans="2:4" x14ac:dyDescent="0.25">
      <c r="B231" s="147" t="s">
        <v>202</v>
      </c>
      <c r="C231" s="21" t="s">
        <v>194</v>
      </c>
      <c r="D231" s="146" t="s">
        <v>193</v>
      </c>
    </row>
    <row r="232" spans="2:4" x14ac:dyDescent="0.25">
      <c r="B232" s="147" t="s">
        <v>203</v>
      </c>
      <c r="C232" s="21" t="s">
        <v>195</v>
      </c>
      <c r="D232" s="146" t="s">
        <v>194</v>
      </c>
    </row>
    <row r="233" spans="2:4" x14ac:dyDescent="0.25">
      <c r="B233" s="147" t="s">
        <v>203</v>
      </c>
      <c r="C233" s="21" t="s">
        <v>196</v>
      </c>
      <c r="D233" s="145" t="s">
        <v>203</v>
      </c>
    </row>
    <row r="234" spans="2:4" x14ac:dyDescent="0.25">
      <c r="B234" s="147" t="s">
        <v>203</v>
      </c>
      <c r="C234" s="21" t="s">
        <v>197</v>
      </c>
      <c r="D234" s="146" t="s">
        <v>195</v>
      </c>
    </row>
    <row r="235" spans="2:4" x14ac:dyDescent="0.25">
      <c r="B235" s="147" t="s">
        <v>203</v>
      </c>
      <c r="C235" s="21" t="s">
        <v>198</v>
      </c>
      <c r="D235" s="146" t="s">
        <v>196</v>
      </c>
    </row>
    <row r="236" spans="2:4" x14ac:dyDescent="0.25">
      <c r="D236" s="146" t="s">
        <v>197</v>
      </c>
    </row>
    <row r="237" spans="2:4" x14ac:dyDescent="0.25">
      <c r="D237" s="146" t="s">
        <v>198</v>
      </c>
    </row>
    <row r="238" spans="2:4" x14ac:dyDescent="0.25">
      <c r="D238" s="145" t="s">
        <v>201</v>
      </c>
    </row>
  </sheetData>
  <mergeCells count="1">
    <mergeCell ref="B1:D1"/>
  </mergeCells>
  <dataValidations count="1">
    <dataValidation type="list" allowBlank="1" showInputMessage="1" showErrorMessage="1" sqref="G210">
      <formula1>$F$210:$F$221</formula1>
    </dataValidation>
  </dataValidations>
  <pageMargins left="0.7" right="0.7" top="0.75" bottom="0.75" header="0.3" footer="0.3"/>
  <pageSetup orientation="portrait" r:id="rId3"/>
  <tableParts count="2">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workbookViewId="0">
      <selection activeCell="F4" sqref="F4:F6"/>
    </sheetView>
  </sheetViews>
  <sheetFormatPr baseColWidth="10" defaultColWidth="14.375" defaultRowHeight="13.6" x14ac:dyDescent="0.25"/>
  <cols>
    <col min="1" max="2" width="14.375" style="88"/>
    <col min="3" max="3" width="17" style="88" customWidth="1"/>
    <col min="4" max="4" width="14.375" style="88"/>
    <col min="5" max="5" width="46" style="88" customWidth="1"/>
    <col min="6" max="16384" width="14.375" style="88"/>
  </cols>
  <sheetData>
    <row r="1" spans="2:6" ht="23.95" customHeight="1" thickBot="1" x14ac:dyDescent="0.3">
      <c r="B1" s="409" t="s">
        <v>204</v>
      </c>
      <c r="C1" s="410"/>
      <c r="D1" s="410"/>
      <c r="E1" s="410"/>
      <c r="F1" s="411"/>
    </row>
    <row r="2" spans="2:6" ht="17" thickBot="1" x14ac:dyDescent="0.35">
      <c r="B2" s="89"/>
      <c r="C2" s="89"/>
      <c r="D2" s="89"/>
      <c r="E2" s="89"/>
      <c r="F2" s="89"/>
    </row>
    <row r="3" spans="2:6" ht="16.3" thickBot="1" x14ac:dyDescent="0.3">
      <c r="B3" s="413" t="s">
        <v>62</v>
      </c>
      <c r="C3" s="414"/>
      <c r="D3" s="414"/>
      <c r="E3" s="101" t="s">
        <v>63</v>
      </c>
      <c r="F3" s="102" t="s">
        <v>64</v>
      </c>
    </row>
    <row r="4" spans="2:6" ht="31.25" x14ac:dyDescent="0.25">
      <c r="B4" s="415" t="s">
        <v>65</v>
      </c>
      <c r="C4" s="417" t="s">
        <v>12</v>
      </c>
      <c r="D4" s="90" t="s">
        <v>13</v>
      </c>
      <c r="E4" s="91" t="s">
        <v>66</v>
      </c>
      <c r="F4" s="92">
        <v>0.25</v>
      </c>
    </row>
    <row r="5" spans="2:6" ht="46.9" x14ac:dyDescent="0.25">
      <c r="B5" s="416"/>
      <c r="C5" s="418"/>
      <c r="D5" s="93" t="s">
        <v>14</v>
      </c>
      <c r="E5" s="94" t="s">
        <v>67</v>
      </c>
      <c r="F5" s="95">
        <v>0.15</v>
      </c>
    </row>
    <row r="6" spans="2:6" ht="46.9" x14ac:dyDescent="0.25">
      <c r="B6" s="416"/>
      <c r="C6" s="418"/>
      <c r="D6" s="93" t="s">
        <v>15</v>
      </c>
      <c r="E6" s="94" t="s">
        <v>68</v>
      </c>
      <c r="F6" s="95">
        <v>0.1</v>
      </c>
    </row>
    <row r="7" spans="2:6" ht="62.5" x14ac:dyDescent="0.25">
      <c r="B7" s="416"/>
      <c r="C7" s="418" t="s">
        <v>16</v>
      </c>
      <c r="D7" s="93" t="s">
        <v>9</v>
      </c>
      <c r="E7" s="94" t="s">
        <v>69</v>
      </c>
      <c r="F7" s="95">
        <v>0.25</v>
      </c>
    </row>
    <row r="8" spans="2:6" ht="31.25" x14ac:dyDescent="0.25">
      <c r="B8" s="416"/>
      <c r="C8" s="418"/>
      <c r="D8" s="93" t="s">
        <v>8</v>
      </c>
      <c r="E8" s="94" t="s">
        <v>70</v>
      </c>
      <c r="F8" s="95">
        <v>0.15</v>
      </c>
    </row>
    <row r="9" spans="2:6" ht="46.9" x14ac:dyDescent="0.25">
      <c r="B9" s="416" t="s">
        <v>144</v>
      </c>
      <c r="C9" s="418" t="s">
        <v>17</v>
      </c>
      <c r="D9" s="93" t="s">
        <v>18</v>
      </c>
      <c r="E9" s="94" t="s">
        <v>71</v>
      </c>
      <c r="F9" s="96" t="s">
        <v>72</v>
      </c>
    </row>
    <row r="10" spans="2:6" ht="46.9" x14ac:dyDescent="0.25">
      <c r="B10" s="416"/>
      <c r="C10" s="418"/>
      <c r="D10" s="93" t="s">
        <v>19</v>
      </c>
      <c r="E10" s="94" t="s">
        <v>73</v>
      </c>
      <c r="F10" s="96" t="s">
        <v>72</v>
      </c>
    </row>
    <row r="11" spans="2:6" ht="46.9" x14ac:dyDescent="0.25">
      <c r="B11" s="416"/>
      <c r="C11" s="418" t="s">
        <v>20</v>
      </c>
      <c r="D11" s="93" t="s">
        <v>21</v>
      </c>
      <c r="E11" s="94" t="s">
        <v>74</v>
      </c>
      <c r="F11" s="96" t="s">
        <v>72</v>
      </c>
    </row>
    <row r="12" spans="2:6" ht="46.9" x14ac:dyDescent="0.25">
      <c r="B12" s="416"/>
      <c r="C12" s="418"/>
      <c r="D12" s="93" t="s">
        <v>22</v>
      </c>
      <c r="E12" s="94" t="s">
        <v>75</v>
      </c>
      <c r="F12" s="96" t="s">
        <v>72</v>
      </c>
    </row>
    <row r="13" spans="2:6" ht="31.25" x14ac:dyDescent="0.25">
      <c r="B13" s="416"/>
      <c r="C13" s="418" t="s">
        <v>23</v>
      </c>
      <c r="D13" s="93" t="s">
        <v>111</v>
      </c>
      <c r="E13" s="94" t="s">
        <v>114</v>
      </c>
      <c r="F13" s="96" t="s">
        <v>72</v>
      </c>
    </row>
    <row r="14" spans="2:6" ht="16.3" thickBot="1" x14ac:dyDescent="0.3">
      <c r="B14" s="419"/>
      <c r="C14" s="420"/>
      <c r="D14" s="97" t="s">
        <v>112</v>
      </c>
      <c r="E14" s="98" t="s">
        <v>113</v>
      </c>
      <c r="F14" s="99" t="s">
        <v>72</v>
      </c>
    </row>
    <row r="15" spans="2:6" ht="49.6" customHeight="1" x14ac:dyDescent="0.25">
      <c r="B15" s="412" t="s">
        <v>141</v>
      </c>
      <c r="C15" s="412"/>
      <c r="D15" s="412"/>
      <c r="E15" s="412"/>
      <c r="F15" s="412"/>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D1" zoomScaleNormal="100" workbookViewId="0">
      <selection activeCell="D27" sqref="D27"/>
    </sheetView>
  </sheetViews>
  <sheetFormatPr baseColWidth="10" defaultRowHeight="14.3" x14ac:dyDescent="0.25"/>
  <cols>
    <col min="1" max="1" width="78.5" customWidth="1"/>
    <col min="3" max="3" width="32" bestFit="1" customWidth="1"/>
    <col min="4" max="4" width="119.375" bestFit="1" customWidth="1"/>
    <col min="5" max="5" width="81" customWidth="1"/>
  </cols>
  <sheetData>
    <row r="1" spans="1:5" ht="14.95" thickBot="1" x14ac:dyDescent="0.3">
      <c r="A1" s="142" t="s">
        <v>174</v>
      </c>
      <c r="D1" s="421" t="s">
        <v>175</v>
      </c>
      <c r="E1" s="422"/>
    </row>
    <row r="2" spans="1:5" x14ac:dyDescent="0.25">
      <c r="A2" s="152" t="s">
        <v>246</v>
      </c>
      <c r="D2" s="423" t="s">
        <v>176</v>
      </c>
      <c r="E2" s="160" t="s">
        <v>266</v>
      </c>
    </row>
    <row r="3" spans="1:5" x14ac:dyDescent="0.25">
      <c r="A3" s="153" t="s">
        <v>247</v>
      </c>
      <c r="D3" s="424"/>
      <c r="E3" s="161" t="s">
        <v>267</v>
      </c>
    </row>
    <row r="4" spans="1:5" x14ac:dyDescent="0.25">
      <c r="A4" s="154" t="s">
        <v>248</v>
      </c>
      <c r="D4" s="424"/>
      <c r="E4" s="161" t="s">
        <v>268</v>
      </c>
    </row>
    <row r="5" spans="1:5" x14ac:dyDescent="0.25">
      <c r="A5" s="155" t="s">
        <v>249</v>
      </c>
      <c r="D5" s="425"/>
      <c r="E5" s="161" t="s">
        <v>269</v>
      </c>
    </row>
    <row r="6" spans="1:5" ht="28.55" x14ac:dyDescent="0.25">
      <c r="A6" s="153" t="s">
        <v>250</v>
      </c>
      <c r="D6" s="423" t="s">
        <v>177</v>
      </c>
      <c r="E6" s="161" t="s">
        <v>243</v>
      </c>
    </row>
    <row r="7" spans="1:5" ht="28.55" x14ac:dyDescent="0.25">
      <c r="A7" s="153" t="s">
        <v>251</v>
      </c>
      <c r="D7" s="424"/>
      <c r="E7" s="161" t="s">
        <v>270</v>
      </c>
    </row>
    <row r="8" spans="1:5" x14ac:dyDescent="0.25">
      <c r="A8" s="156" t="s">
        <v>252</v>
      </c>
      <c r="D8" s="424"/>
      <c r="E8" s="161" t="s">
        <v>242</v>
      </c>
    </row>
    <row r="9" spans="1:5" x14ac:dyDescent="0.25">
      <c r="A9" s="156" t="s">
        <v>253</v>
      </c>
      <c r="D9" s="423" t="s">
        <v>178</v>
      </c>
      <c r="E9" s="161" t="s">
        <v>271</v>
      </c>
    </row>
    <row r="10" spans="1:5" x14ac:dyDescent="0.25">
      <c r="A10" s="157" t="s">
        <v>254</v>
      </c>
      <c r="D10" s="424"/>
      <c r="E10" s="161" t="s">
        <v>272</v>
      </c>
    </row>
    <row r="11" spans="1:5" x14ac:dyDescent="0.25">
      <c r="A11" s="156" t="s">
        <v>255</v>
      </c>
      <c r="D11" s="423" t="s">
        <v>179</v>
      </c>
      <c r="E11" s="161" t="s">
        <v>244</v>
      </c>
    </row>
    <row r="12" spans="1:5" x14ac:dyDescent="0.25">
      <c r="A12" s="158" t="s">
        <v>256</v>
      </c>
      <c r="D12" s="424"/>
      <c r="E12" s="161" t="s">
        <v>273</v>
      </c>
    </row>
    <row r="13" spans="1:5" x14ac:dyDescent="0.25">
      <c r="A13" s="153" t="s">
        <v>257</v>
      </c>
      <c r="D13" s="425"/>
      <c r="E13" s="161" t="s">
        <v>274</v>
      </c>
    </row>
    <row r="14" spans="1:5" x14ac:dyDescent="0.25">
      <c r="A14" s="156" t="s">
        <v>258</v>
      </c>
      <c r="E14" s="161" t="s">
        <v>275</v>
      </c>
    </row>
    <row r="15" spans="1:5" x14ac:dyDescent="0.25">
      <c r="A15" s="153" t="s">
        <v>259</v>
      </c>
      <c r="D15" s="143" t="s">
        <v>183</v>
      </c>
      <c r="E15" s="161" t="s">
        <v>245</v>
      </c>
    </row>
    <row r="16" spans="1:5" x14ac:dyDescent="0.25">
      <c r="A16" s="153" t="s">
        <v>260</v>
      </c>
      <c r="D16" s="144" t="s">
        <v>184</v>
      </c>
      <c r="E16" s="161" t="s">
        <v>239</v>
      </c>
    </row>
    <row r="17" spans="1:7" x14ac:dyDescent="0.25">
      <c r="A17" s="158" t="s">
        <v>261</v>
      </c>
      <c r="D17" s="144" t="s">
        <v>185</v>
      </c>
      <c r="E17" s="161" t="s">
        <v>240</v>
      </c>
    </row>
    <row r="18" spans="1:7" x14ac:dyDescent="0.25">
      <c r="A18" s="155" t="s">
        <v>262</v>
      </c>
      <c r="D18" s="144" t="s">
        <v>186</v>
      </c>
      <c r="E18" s="161" t="s">
        <v>238</v>
      </c>
    </row>
    <row r="19" spans="1:7" ht="28.55" x14ac:dyDescent="0.25">
      <c r="A19" s="156" t="s">
        <v>263</v>
      </c>
      <c r="D19" s="144" t="s">
        <v>187</v>
      </c>
      <c r="E19" s="161" t="s">
        <v>276</v>
      </c>
    </row>
    <row r="20" spans="1:7" x14ac:dyDescent="0.25">
      <c r="A20" s="157" t="s">
        <v>245</v>
      </c>
      <c r="D20" s="144" t="s">
        <v>188</v>
      </c>
      <c r="E20" s="161" t="s">
        <v>241</v>
      </c>
    </row>
    <row r="21" spans="1:7" x14ac:dyDescent="0.25">
      <c r="A21" s="153" t="s">
        <v>264</v>
      </c>
      <c r="D21" s="144" t="s">
        <v>189</v>
      </c>
      <c r="E21" s="161" t="s">
        <v>277</v>
      </c>
    </row>
    <row r="22" spans="1:7" ht="14.95" thickBot="1" x14ac:dyDescent="0.3">
      <c r="A22" s="159" t="s">
        <v>265</v>
      </c>
      <c r="D22" s="144" t="s">
        <v>190</v>
      </c>
      <c r="E22" s="161" t="s">
        <v>278</v>
      </c>
    </row>
    <row r="23" spans="1:7" x14ac:dyDescent="0.25">
      <c r="A23" s="148"/>
      <c r="E23" s="161" t="s">
        <v>279</v>
      </c>
    </row>
    <row r="24" spans="1:7" x14ac:dyDescent="0.25">
      <c r="A24" s="143" t="s">
        <v>191</v>
      </c>
      <c r="E24" s="161" t="s">
        <v>280</v>
      </c>
    </row>
    <row r="25" spans="1:7" ht="21.1" x14ac:dyDescent="0.25">
      <c r="A25" s="144" t="s">
        <v>184</v>
      </c>
      <c r="B25" s="29"/>
      <c r="E25" s="161" t="s">
        <v>281</v>
      </c>
    </row>
    <row r="26" spans="1:7" ht="21.1" x14ac:dyDescent="0.35">
      <c r="A26" s="144" t="s">
        <v>185</v>
      </c>
      <c r="B26" s="30"/>
      <c r="E26" s="161" t="s">
        <v>282</v>
      </c>
      <c r="F26" t="s">
        <v>87</v>
      </c>
      <c r="G26" t="str">
        <f ca="1">IF(NOT(ISERROR(MATCH(F26,_xlfn.ANCHORARRAY(A37),0))),E39&amp;"Por favor no seleccionar los criterios de impacto",F26)</f>
        <v>Afectación Económica o presupuestal</v>
      </c>
    </row>
    <row r="27" spans="1:7" ht="21.75" thickBot="1" x14ac:dyDescent="0.4">
      <c r="A27" s="144" t="s">
        <v>186</v>
      </c>
      <c r="B27" s="30"/>
      <c r="E27" s="162" t="s">
        <v>283</v>
      </c>
    </row>
    <row r="28" spans="1:7" ht="21.1" x14ac:dyDescent="0.35">
      <c r="A28" s="144" t="s">
        <v>187</v>
      </c>
      <c r="B28" s="30"/>
    </row>
    <row r="29" spans="1:7" ht="21.1" x14ac:dyDescent="0.35">
      <c r="A29" s="144" t="s">
        <v>188</v>
      </c>
      <c r="B29" s="30"/>
    </row>
    <row r="30" spans="1:7" ht="21.1" x14ac:dyDescent="0.35">
      <c r="A30" s="144" t="s">
        <v>189</v>
      </c>
      <c r="B30" s="30"/>
    </row>
    <row r="31" spans="1:7" ht="21.1" x14ac:dyDescent="0.35">
      <c r="A31" s="144" t="s">
        <v>190</v>
      </c>
      <c r="B31" s="30"/>
    </row>
    <row r="32" spans="1:7" ht="21.1" x14ac:dyDescent="0.35">
      <c r="A32" s="30"/>
      <c r="B32" s="30"/>
    </row>
    <row r="33" spans="1:2" ht="21.1" x14ac:dyDescent="0.35">
      <c r="A33" s="30"/>
      <c r="B33" s="30"/>
    </row>
    <row r="34" spans="1:2" ht="21.1" x14ac:dyDescent="0.35">
      <c r="A34" s="30"/>
      <c r="B34" s="30"/>
    </row>
    <row r="35" spans="1:2" ht="21.1" x14ac:dyDescent="0.35">
      <c r="A35" s="30"/>
      <c r="B35" s="30"/>
    </row>
    <row r="36" spans="1:2" x14ac:dyDescent="0.25">
      <c r="A36" s="31"/>
      <c r="B36" s="31"/>
    </row>
  </sheetData>
  <mergeCells count="5">
    <mergeCell ref="D1:E1"/>
    <mergeCell ref="D2:D5"/>
    <mergeCell ref="D6:D8"/>
    <mergeCell ref="D9:D10"/>
    <mergeCell ref="D11:D13"/>
  </mergeCells>
  <dataValidations count="1">
    <dataValidation type="list" allowBlank="1" showInputMessage="1" showErrorMessage="1" sqref="F26">
      <formula1>$F$210:$F$221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B20" sqref="B20"/>
    </sheetView>
  </sheetViews>
  <sheetFormatPr baseColWidth="10" defaultRowHeight="14.3" x14ac:dyDescent="0.25"/>
  <sheetData>
    <row r="2" spans="2:5" x14ac:dyDescent="0.25">
      <c r="B2" t="s">
        <v>30</v>
      </c>
      <c r="E2" t="s">
        <v>117</v>
      </c>
    </row>
    <row r="3" spans="2:5" x14ac:dyDescent="0.25">
      <c r="B3" t="s">
        <v>31</v>
      </c>
      <c r="E3" t="s">
        <v>116</v>
      </c>
    </row>
    <row r="4" spans="2:5" x14ac:dyDescent="0.25">
      <c r="B4" t="s">
        <v>121</v>
      </c>
      <c r="E4" t="s">
        <v>118</v>
      </c>
    </row>
    <row r="5" spans="2:5" x14ac:dyDescent="0.25">
      <c r="B5" t="s">
        <v>120</v>
      </c>
    </row>
    <row r="8" spans="2:5" x14ac:dyDescent="0.25">
      <c r="B8" t="s">
        <v>83</v>
      </c>
    </row>
    <row r="9" spans="2:5" x14ac:dyDescent="0.25">
      <c r="B9" t="s">
        <v>39</v>
      </c>
    </row>
    <row r="10" spans="2:5" x14ac:dyDescent="0.25">
      <c r="B10" t="s">
        <v>40</v>
      </c>
    </row>
    <row r="11" spans="2:5" x14ac:dyDescent="0.25">
      <c r="B11" t="s">
        <v>210</v>
      </c>
    </row>
    <row r="13" spans="2:5" x14ac:dyDescent="0.25">
      <c r="B13" t="s">
        <v>211</v>
      </c>
    </row>
    <row r="14" spans="2:5" x14ac:dyDescent="0.25">
      <c r="B14" t="s">
        <v>212</v>
      </c>
    </row>
    <row r="15" spans="2:5" x14ac:dyDescent="0.25">
      <c r="B15" t="s">
        <v>213</v>
      </c>
    </row>
    <row r="16" spans="2:5" x14ac:dyDescent="0.25">
      <c r="B16" t="s">
        <v>214</v>
      </c>
    </row>
    <row r="17" spans="2:2" x14ac:dyDescent="0.25">
      <c r="B17" t="s">
        <v>215</v>
      </c>
    </row>
    <row r="18" spans="2:2" x14ac:dyDescent="0.25">
      <c r="B18" t="s">
        <v>216</v>
      </c>
    </row>
    <row r="19" spans="2:2" x14ac:dyDescent="0.25">
      <c r="B19" t="s">
        <v>217</v>
      </c>
    </row>
  </sheetData>
  <sortState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Matriz Calor Residual</vt:lpstr>
      <vt:lpstr>Tabla probabilidad</vt:lpstr>
      <vt:lpstr>Tabla Impacto</vt:lpstr>
      <vt:lpstr>Tabla Valoración controles</vt:lpstr>
      <vt:lpstr>Procesos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User</cp:lastModifiedBy>
  <cp:lastPrinted>2020-05-13T01:12:22Z</cp:lastPrinted>
  <dcterms:created xsi:type="dcterms:W3CDTF">2020-03-24T23:12:47Z</dcterms:created>
  <dcterms:modified xsi:type="dcterms:W3CDTF">2023-11-22T20:39:46Z</dcterms:modified>
</cp:coreProperties>
</file>